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S:\Projekti\2023\2116 NOVELCIJA INDUSTRIJSKA GROSUPLJE\07 PZI_novelacija 2025\0.2.1 ZBIRNI NAČRT GRADBENIŠTVA\01 TEKSTUALNI DEL\2025-09-18_oddaja PZI (korekcija plocnika 1,60m)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PREDDELA'!$B$40</definedName>
    <definedName name="_1.4_Predhodna_dela">'1. PREDDELA'!#REF!</definedName>
    <definedName name="_1.5_Geotehnika_predorov">'1. PREDDELA'!#REF!</definedName>
    <definedName name="_1_preddela_1" localSheetId="1">'1. PREDDELA'!$B$2:$F$46</definedName>
    <definedName name="_1_preddela_1" localSheetId="2">'2. ZEMELJSKA DELA'!$B$2:$F$41</definedName>
    <definedName name="_1_preddela_1" localSheetId="3">'3. VOZIŠČNE KONSTRUKCIJE'!$B$2:$F$43</definedName>
    <definedName name="_1_preddela_1" localSheetId="4">'4. ODVODNJAVANJE'!$B$2:$F$35</definedName>
    <definedName name="_1_preddela_1" localSheetId="5">'5. GRADBENA IN OBRTNIŠKA DELA'!$B$2:$F$33</definedName>
    <definedName name="_1_preddela_1" localSheetId="6">'6. OPREMA CEST'!$B$2:$F$32</definedName>
    <definedName name="_1_preddela_1" localSheetId="7">'7. TUJE STORITVE'!$B$2:$F$31</definedName>
    <definedName name="_1_preddela_2" localSheetId="5">'5. GRADBENA IN OBRTNIŠKA DELA'!$B$2:$F$44</definedName>
    <definedName name="_2.1_Izkopi">'2. ZEMELJSKA DELA'!$B$6</definedName>
    <definedName name="_2.2_Planum_tal">'2. ZEMELJSKA DELA'!$B$13</definedName>
    <definedName name="_2.3_ločilne_drenažne_filterske_plasti">'2. ZEMELJSKA DELA'!$B$19</definedName>
    <definedName name="_2.4_Nasipi_zasipi_posteljica">'2. ZEMELJSKA DELA'!$B$23</definedName>
    <definedName name="_2.5_Brežine_zelenice">'2. ZEMELJSKA DELA'!$B$28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DELA'!$B$33</definedName>
    <definedName name="_3.1_Nosilne_plasti">'3. VOZIŠČNE KONSTRUKCIJE'!$B$6</definedName>
    <definedName name="_3.2_Obrabne_plasti">'3. VOZIŠČNE KONSTRUKCIJE'!$B$17</definedName>
    <definedName name="_3.3_Vezane_nosilne_in_obrabne_plasti">'3. VOZIŠČNE KONSTRUKCIJE'!#REF!</definedName>
    <definedName name="_3.4_Tlakovane_obrabne_plasti">'3. VOZIŠČNE KONSTRUKCIJE'!#REF!</definedName>
    <definedName name="_3.5_Robni_elementi_vozišč">'3. VOZIŠČNE KONSTRUKCIJE'!$B$33</definedName>
    <definedName name="_4.1_Površinsko_odvodnjavanje">'4. ODVODNJAVANJE'!#REF!</definedName>
    <definedName name="_4.2_Drenaže">'4. ODVODNJAVANJE'!$B$6</definedName>
    <definedName name="_4.3_Kanalizacija">'4. ODVODNJAVANJE'!$B$11</definedName>
    <definedName name="_4.4_Jaški">'4. ODVODNJAVANJE'!$B$23</definedName>
    <definedName name="_4.5_Prepusti">'4. ODVODNJAVANJE'!$B$30</definedName>
    <definedName name="_4.6_Izviri_ponikovalnice">'4. ODVODNJAVANJE'!#REF!</definedName>
    <definedName name="_5.1_Tesarska_dela">'5. GRADBENA IN OBRTNIŠKA DELA'!$B$6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CEST'!$B$13</definedName>
    <definedName name="_6.3_Oprema_za_vodenje_prometa">'6. OPREMA CEST'!#REF!</definedName>
    <definedName name="_6.4_Oprema_za_zavarovanje_prometa">'6. OPREMA CEST'!$B$23</definedName>
    <definedName name="_6.5_Oprema_za_zimsko_službo">'6. OPREMA CEST'!#REF!</definedName>
    <definedName name="_6.6_Druga_prometna_oprema_cest">'6. OPREMA CEST'!#REF!</definedName>
    <definedName name="_7.2_Elektroenergetski_vodi">'7. TUJE STORITVE'!$B$6</definedName>
    <definedName name="_7.3_Telekomunikacijske_naprave">'7. TUJE STORITVE'!$B$10</definedName>
    <definedName name="_7.4_klic_v_sili">'7. TUJE STORITVE'!#REF!</definedName>
    <definedName name="_7.5_Javna_razsvetljava">'7. TUJE STORITVE'!#REF!</definedName>
    <definedName name="_7.6_vodovod">'7. TUJE STORITVE'!$B$14</definedName>
    <definedName name="_7.7_Plinovod">'7. TUJE STORITVE'!$B$18</definedName>
    <definedName name="_7.8_Železnica">'7. TUJE STORITVE'!#REF!</definedName>
    <definedName name="_7.9_Preizkusi_nadzor_dokumentacija">'7. TUJE STORITVE'!$B$22</definedName>
    <definedName name="_xlnm._FilterDatabase" localSheetId="1" hidden="1">'1. PREDDELA'!$E$1:$G$46</definedName>
    <definedName name="_xlnm._FilterDatabase" localSheetId="2" hidden="1">'2. ZEMELJSKA DELA'!$E$1:$G$41</definedName>
    <definedName name="_xlnm._FilterDatabase" localSheetId="3" hidden="1">'3. VOZIŠČNE KONSTRUKCIJE'!$E$1:$G$43</definedName>
    <definedName name="_xlnm._FilterDatabase" localSheetId="4" hidden="1">'4. ODVODNJAVANJE'!$E$1:$G$35</definedName>
    <definedName name="_xlnm._FilterDatabase" localSheetId="5" hidden="1">'5. GRADBENA IN OBRTNIŠKA DELA'!$E$1:$G$42</definedName>
    <definedName name="_xlnm._FilterDatabase" localSheetId="6" hidden="1">'6. OPREMA CEST'!$E$1:$G$32</definedName>
    <definedName name="_xlnm._FilterDatabase" localSheetId="7" hidden="1">'7. TUJE STORITVE'!$E$1:$G$31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PREDDELA'!$B$40</definedName>
    <definedName name="_xlnm.Print_Area" localSheetId="5">'5. GRADBENA IN OBRTNIŠKA DELA'!$A$1:$G$44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CEST'!$B$23</definedName>
  </definedNames>
  <calcPr calcId="152511"/>
</workbook>
</file>

<file path=xl/calcChain.xml><?xml version="1.0" encoding="utf-8"?>
<calcChain xmlns="http://schemas.openxmlformats.org/spreadsheetml/2006/main">
  <c r="E25" i="5" l="1"/>
  <c r="E15" i="8"/>
  <c r="E37" i="5"/>
  <c r="E14" i="5"/>
  <c r="E39" i="4" l="1"/>
  <c r="E38" i="4"/>
  <c r="E36" i="4"/>
  <c r="E25" i="4"/>
  <c r="E21" i="4"/>
  <c r="E17" i="4"/>
  <c r="E16" i="4"/>
  <c r="E11" i="4"/>
  <c r="E10" i="4"/>
  <c r="E9" i="4"/>
  <c r="E37" i="4" s="1"/>
  <c r="E18" i="6"/>
  <c r="E17" i="6"/>
  <c r="E31" i="5"/>
  <c r="E29" i="5"/>
  <c r="E24" i="5"/>
  <c r="E10" i="5"/>
  <c r="E28" i="6" l="1"/>
  <c r="E11" i="2" l="1"/>
  <c r="E8" i="4"/>
  <c r="E16" i="9"/>
  <c r="E21" i="8"/>
  <c r="E18" i="8"/>
  <c r="E17" i="8"/>
  <c r="E16" i="8"/>
  <c r="E10" i="8"/>
  <c r="E20" i="5" l="1"/>
  <c r="E15" i="5"/>
  <c r="E32" i="2"/>
  <c r="E29" i="2"/>
  <c r="G21" i="8" l="1"/>
  <c r="E20" i="8"/>
  <c r="E19" i="8"/>
  <c r="E15" i="4" l="1"/>
  <c r="E20" i="9"/>
  <c r="G28" i="9"/>
  <c r="G27" i="9"/>
  <c r="E33" i="7" l="1"/>
  <c r="E29" i="7"/>
  <c r="E27" i="7"/>
  <c r="E28" i="7"/>
  <c r="E26" i="7"/>
  <c r="G42" i="7" l="1"/>
  <c r="G41" i="7"/>
  <c r="G40" i="7"/>
  <c r="G39" i="7"/>
  <c r="G38" i="7"/>
  <c r="G37" i="7"/>
  <c r="G36" i="7"/>
  <c r="G35" i="7"/>
  <c r="G34" i="7"/>
  <c r="G33" i="7"/>
  <c r="E32" i="7"/>
  <c r="E31" i="7"/>
  <c r="E30" i="7"/>
  <c r="G29" i="7"/>
  <c r="G28" i="7"/>
  <c r="G27" i="7"/>
  <c r="G26" i="7"/>
  <c r="G24" i="7"/>
  <c r="G20" i="7"/>
  <c r="G19" i="7"/>
  <c r="G18" i="7"/>
  <c r="G17" i="7"/>
  <c r="E16" i="7"/>
  <c r="E15" i="7"/>
  <c r="E14" i="7"/>
  <c r="G13" i="7"/>
  <c r="G12" i="7"/>
  <c r="G11" i="7"/>
  <c r="G10" i="7"/>
  <c r="G9" i="7"/>
  <c r="G8" i="7"/>
  <c r="E7" i="7"/>
  <c r="E6" i="7"/>
  <c r="E5" i="7"/>
  <c r="E21" i="7" l="1"/>
  <c r="E23" i="7"/>
  <c r="E22" i="7"/>
  <c r="G25" i="7"/>
  <c r="F44" i="7" l="1"/>
  <c r="H22" i="1" s="1"/>
  <c r="E25" i="8" l="1"/>
  <c r="E32" i="6"/>
  <c r="E8" i="6"/>
  <c r="E41" i="5"/>
  <c r="E37" i="2"/>
  <c r="E9" i="5" l="1"/>
  <c r="E26" i="4"/>
  <c r="E16" i="6" l="1"/>
  <c r="G29" i="9" l="1"/>
  <c r="G26" i="6" l="1"/>
  <c r="G29" i="8" l="1"/>
  <c r="G21" i="6" l="1"/>
  <c r="E19" i="2"/>
  <c r="E31" i="2" l="1"/>
  <c r="E9" i="6" l="1"/>
  <c r="G19" i="6" l="1"/>
  <c r="E30" i="5"/>
  <c r="E7" i="9" l="1"/>
  <c r="E5" i="9"/>
  <c r="E31" i="4"/>
  <c r="E15" i="6" l="1"/>
  <c r="G20" i="6" l="1"/>
  <c r="G25" i="2"/>
  <c r="E11" i="9" l="1"/>
  <c r="E10" i="9"/>
  <c r="E9" i="9" l="1"/>
  <c r="G25" i="5"/>
  <c r="E35" i="4" l="1"/>
  <c r="E23" i="8" l="1"/>
  <c r="E9" i="2"/>
  <c r="G17" i="4" l="1"/>
  <c r="G28" i="6" l="1"/>
  <c r="G30" i="8" l="1"/>
  <c r="G44" i="2" l="1"/>
  <c r="G24" i="9" l="1"/>
  <c r="G25" i="9"/>
  <c r="G26" i="9"/>
  <c r="G20" i="9"/>
  <c r="G16" i="9"/>
  <c r="G12" i="9"/>
  <c r="G8" i="9"/>
  <c r="G25" i="8"/>
  <c r="G26" i="8"/>
  <c r="G27" i="8"/>
  <c r="G28" i="8"/>
  <c r="G15" i="8"/>
  <c r="G16" i="8"/>
  <c r="G17" i="8"/>
  <c r="G18" i="8"/>
  <c r="G19" i="8"/>
  <c r="G20" i="8"/>
  <c r="G8" i="8"/>
  <c r="G9" i="8"/>
  <c r="G10" i="8"/>
  <c r="G11" i="8"/>
  <c r="G35" i="4"/>
  <c r="G36" i="4"/>
  <c r="G37" i="4"/>
  <c r="G38" i="4"/>
  <c r="G39" i="4"/>
  <c r="G32" i="6"/>
  <c r="G33" i="6"/>
  <c r="G25" i="6"/>
  <c r="G27" i="6"/>
  <c r="G13" i="6"/>
  <c r="G14" i="6"/>
  <c r="G15" i="6"/>
  <c r="G16" i="6"/>
  <c r="G17" i="6"/>
  <c r="G18" i="6"/>
  <c r="G8" i="6"/>
  <c r="G9" i="6"/>
  <c r="G41" i="5"/>
  <c r="G37" i="5"/>
  <c r="G29" i="5"/>
  <c r="G30" i="5"/>
  <c r="G31" i="5"/>
  <c r="G24" i="5"/>
  <c r="G20" i="5"/>
  <c r="G14" i="5"/>
  <c r="G15" i="5"/>
  <c r="G9" i="5"/>
  <c r="G10" i="5"/>
  <c r="G30" i="4"/>
  <c r="G31" i="4"/>
  <c r="G25" i="4"/>
  <c r="G26" i="4"/>
  <c r="G21" i="4"/>
  <c r="G16" i="4"/>
  <c r="G15" i="4"/>
  <c r="G8" i="4"/>
  <c r="G9" i="4"/>
  <c r="G10" i="4"/>
  <c r="G11" i="4"/>
  <c r="G43" i="2"/>
  <c r="G37" i="2"/>
  <c r="G38" i="2"/>
  <c r="G36" i="2"/>
  <c r="G30" i="2"/>
  <c r="G31" i="2"/>
  <c r="G32" i="2"/>
  <c r="G29" i="2"/>
  <c r="G24" i="2"/>
  <c r="G17" i="2"/>
  <c r="G18" i="2"/>
  <c r="G19" i="2"/>
  <c r="G20" i="2"/>
  <c r="G16" i="2"/>
  <c r="G8" i="2"/>
  <c r="G9" i="2"/>
  <c r="G10" i="2"/>
  <c r="G11" i="2"/>
  <c r="E23" i="9"/>
  <c r="E22" i="9"/>
  <c r="E21" i="9"/>
  <c r="E19" i="9"/>
  <c r="E18" i="9"/>
  <c r="E17" i="9"/>
  <c r="E15" i="9"/>
  <c r="E14" i="9"/>
  <c r="E6" i="9"/>
  <c r="E24" i="8"/>
  <c r="E22" i="8"/>
  <c r="E14" i="8"/>
  <c r="E13" i="8"/>
  <c r="E12" i="8"/>
  <c r="E7" i="8"/>
  <c r="E6" i="8"/>
  <c r="E5" i="8"/>
  <c r="E31" i="6"/>
  <c r="E30" i="6"/>
  <c r="E29" i="6"/>
  <c r="E23" i="6"/>
  <c r="E7" i="6"/>
  <c r="E6" i="6"/>
  <c r="E5" i="6"/>
  <c r="E40" i="5"/>
  <c r="E39" i="5"/>
  <c r="E38" i="5"/>
  <c r="E19" i="5"/>
  <c r="E18" i="5"/>
  <c r="E13" i="5"/>
  <c r="E12" i="5"/>
  <c r="E29" i="4"/>
  <c r="E28" i="4"/>
  <c r="E27" i="4"/>
  <c r="E42" i="2"/>
  <c r="E41" i="2"/>
  <c r="E35" i="2"/>
  <c r="E33" i="2"/>
  <c r="E34" i="2"/>
  <c r="E28" i="2"/>
  <c r="E27" i="2"/>
  <c r="E26" i="2"/>
  <c r="E21" i="2"/>
  <c r="E22" i="2"/>
  <c r="E23" i="2"/>
  <c r="E15" i="2"/>
  <c r="E14" i="2"/>
  <c r="E7" i="2"/>
  <c r="E6" i="2"/>
  <c r="E5" i="2"/>
  <c r="E13" i="9" l="1"/>
  <c r="E12" i="2"/>
  <c r="E13" i="2"/>
  <c r="F35" i="6" l="1"/>
  <c r="F32" i="8"/>
  <c r="H24" i="1" s="1"/>
  <c r="F41" i="4"/>
  <c r="H16" i="1" s="1"/>
  <c r="F43" i="5" l="1"/>
  <c r="H18" i="1" s="1"/>
  <c r="F46" i="2"/>
  <c r="H14" i="1" s="1"/>
  <c r="H20" i="1"/>
  <c r="F31" i="9" l="1"/>
  <c r="H26" i="1" s="1"/>
  <c r="H28" i="1" l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8" name="1_preddela3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<sst xmlns="http://schemas.openxmlformats.org/spreadsheetml/2006/main" count="500" uniqueCount="330">
  <si>
    <t>1.   PREDDELA</t>
  </si>
  <si>
    <t>km</t>
  </si>
  <si>
    <t>11 121</t>
  </si>
  <si>
    <t>11 131</t>
  </si>
  <si>
    <t>kos</t>
  </si>
  <si>
    <t>11 221</t>
  </si>
  <si>
    <t>11 631</t>
  </si>
  <si>
    <t>ura</t>
  </si>
  <si>
    <t>12 111</t>
  </si>
  <si>
    <t>m2</t>
  </si>
  <si>
    <t>12 122</t>
  </si>
  <si>
    <t>12 151</t>
  </si>
  <si>
    <t>12 163</t>
  </si>
  <si>
    <t>m1</t>
  </si>
  <si>
    <t>kg</t>
  </si>
  <si>
    <t>12 291</t>
  </si>
  <si>
    <t>m3</t>
  </si>
  <si>
    <t>12 297</t>
  </si>
  <si>
    <t>12 311</t>
  </si>
  <si>
    <t>12 323</t>
  </si>
  <si>
    <t>12 373</t>
  </si>
  <si>
    <t>12 383</t>
  </si>
  <si>
    <t>12 411</t>
  </si>
  <si>
    <t>12 426</t>
  </si>
  <si>
    <t>12 431</t>
  </si>
  <si>
    <t>dan</t>
  </si>
  <si>
    <t>13 113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</si>
  <si>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</si>
  <si>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</si>
  <si>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</si>
  <si>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</si>
  <si>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</si>
  <si>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</si>
  <si>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</si>
  <si>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</si>
  <si>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</si>
  <si>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</si>
  <si>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</si>
  <si>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</si>
  <si>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</si>
  <si>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</si>
  <si>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</si>
  <si>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</si>
  <si>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</si>
  <si>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</si>
  <si>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</si>
  <si>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redko porasli površini (do 50 % pokritega tlorisa) - ročno
</t>
  </si>
  <si>
    <t xml:space="preserve">Odstranitev grmovja na gosto porasli površini (nad 50 % pokritega tlorisa) - strojno
</t>
  </si>
  <si>
    <t xml:space="preserve">Posek in odstranitev drevesa z deblom premera 11 do 30 cm ter odstranitev vej
</t>
  </si>
  <si>
    <t xml:space="preserve">Rezkanje in odvoz asfaltne krovne plasti v debelini 8 do 10 cm 
</t>
  </si>
  <si>
    <t xml:space="preserve">Porušitev in odstranitev prepusta iz cevi s premerom do 60 cm
</t>
  </si>
  <si>
    <t xml:space="preserve">Porušitev in odstranitev kanalizacije iz obbetoniranih cevi s premerom do 40 cm
</t>
  </si>
  <si>
    <t xml:space="preserve">Porušitev in odstranitev jaška z notranjo stranico/premerom do 60 cm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</si>
  <si>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</si>
  <si>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</si>
  <si>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</si>
  <si>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</si>
  <si>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</si>
  <si>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</si>
  <si>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</si>
  <si>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22 111</t>
  </si>
  <si>
    <t>22 112</t>
  </si>
  <si>
    <t>23 313</t>
  </si>
  <si>
    <t>24 112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</si>
  <si>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</si>
  <si>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</si>
  <si>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</si>
  <si>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</si>
  <si>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</si>
  <si>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</si>
  <si>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</si>
  <si>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</si>
  <si>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</si>
  <si>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</si>
  <si>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</si>
  <si>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Ureditev planuma temeljnih tal vezljive zemljine – 3. kategorije
</t>
  </si>
  <si>
    <t xml:space="preserve">Dobava in vgraditev geotekstilije za ločilno plast (po načrtu), natezna trdnost nad 14 do 16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</si>
  <si>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</si>
  <si>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</si>
  <si>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</si>
  <si>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</si>
  <si>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</si>
  <si>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</si>
  <si>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</si>
  <si>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</si>
  <si>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4.2  Globinsko odvodnjavanje - drenaže</t>
  </si>
  <si>
    <t>42 133</t>
  </si>
  <si>
    <t>42 311</t>
  </si>
  <si>
    <t>4.3  Globinsko odvodnjavanje - kanalizacija</t>
  </si>
  <si>
    <t>43 232</t>
  </si>
  <si>
    <t>43 266</t>
  </si>
  <si>
    <t>43 272</t>
  </si>
  <si>
    <t>43 276</t>
  </si>
  <si>
    <t>43 831</t>
  </si>
  <si>
    <t>43 841</t>
  </si>
  <si>
    <t>4.4  Jaški</t>
  </si>
  <si>
    <t>44 333</t>
  </si>
  <si>
    <t>44 977</t>
  </si>
  <si>
    <t>44 992</t>
  </si>
  <si>
    <t>4.5  Prepusti</t>
  </si>
  <si>
    <t>45 131</t>
  </si>
  <si>
    <t xml:space="preserve">m1 </t>
  </si>
  <si>
    <t>45 212</t>
  </si>
  <si>
    <t xml:space="preserve">Zasip cevne drenaže z zmesjo kamnitih zrn, obvito z geosintetikom, z 0,1 do 0,2 m3/m1, po načrtu
</t>
  </si>
  <si>
    <t>5.   GRADBENA IN OBRTNIŠKA DELA</t>
  </si>
  <si>
    <t>5.1  Tesarska dela</t>
  </si>
  <si>
    <t>51 211</t>
  </si>
  <si>
    <t>51 331</t>
  </si>
  <si>
    <t>51 341</t>
  </si>
  <si>
    <t>51 342</t>
  </si>
  <si>
    <t>5.2  Dela z jeklom za ojačitev</t>
  </si>
  <si>
    <t>5.3  Dela s cementnim betonom</t>
  </si>
  <si>
    <t>53 342</t>
  </si>
  <si>
    <t>53 348</t>
  </si>
  <si>
    <t>5.8  Ključavničarska dela in dela v jeklu</t>
  </si>
  <si>
    <t>58 211</t>
  </si>
  <si>
    <t>59 981</t>
  </si>
  <si>
    <t>59 982</t>
  </si>
  <si>
    <t>Izdelava navidezne rege z zaključnim trakom za rege</t>
  </si>
  <si>
    <t>59 983</t>
  </si>
  <si>
    <t>Izdelava navidezne rege z valovito ploščo v sredini</t>
  </si>
  <si>
    <t>59 986</t>
  </si>
  <si>
    <t>Izdelava navidezne rege ………… po načrtu</t>
  </si>
  <si>
    <t>59 991</t>
  </si>
  <si>
    <t>Izdelava delovnega stika pri izolacijskih trakovih na steni</t>
  </si>
  <si>
    <t>59 992</t>
  </si>
  <si>
    <t>59 993</t>
  </si>
  <si>
    <t>59 996</t>
  </si>
  <si>
    <t>Izdelava delovnega stika stene…………… po načrtu</t>
  </si>
  <si>
    <t>59 997</t>
  </si>
  <si>
    <t>Izdelava delovnega stika plošče……………. po načrtu</t>
  </si>
  <si>
    <t>SKUPAJ GRADBENA IN OBRTNIŠKA DELA:</t>
  </si>
  <si>
    <t>SKUPAJ ODVODNJAVANJE:</t>
  </si>
  <si>
    <t>SKUPAJ VOZIŠČNE KONSTRUKCIJE:</t>
  </si>
  <si>
    <t>3.1  Nosilne plasti</t>
  </si>
  <si>
    <t xml:space="preserve">Izdelava navidezne rege s tesnilnim trakom na zasuti strani, brez izolacijskih trakov
</t>
  </si>
  <si>
    <t xml:space="preserve">Izdelava delovnega stika s pločevino 300/1 mm, brez izolacijskih trakov
</t>
  </si>
  <si>
    <t xml:space="preserve">Izdelava delovnega stika z nabrekajočim trakom ali profilom, brez izolacijskih trakov
</t>
  </si>
  <si>
    <t>SKUPAJ OPREMA CEST:</t>
  </si>
  <si>
    <t>6.   OPREMA CEST</t>
  </si>
  <si>
    <t>6.1  Pokončna oprema cest</t>
  </si>
  <si>
    <t>61 112</t>
  </si>
  <si>
    <t>61 217</t>
  </si>
  <si>
    <t>61 622</t>
  </si>
  <si>
    <t>61 713</t>
  </si>
  <si>
    <t>6.2  Označbe na voziščih</t>
  </si>
  <si>
    <t>62 411</t>
  </si>
  <si>
    <t>62 412</t>
  </si>
  <si>
    <t>62 414</t>
  </si>
  <si>
    <t>62 417</t>
  </si>
  <si>
    <t>62 425</t>
  </si>
  <si>
    <t>62 446</t>
  </si>
  <si>
    <t>6.4  Oprema za zavarovanje prometa</t>
  </si>
  <si>
    <t>64 113</t>
  </si>
  <si>
    <t>64 435</t>
  </si>
  <si>
    <t>64 921</t>
  </si>
  <si>
    <t>64 922</t>
  </si>
  <si>
    <t>64 923</t>
  </si>
  <si>
    <t xml:space="preserve">Dobava in vgraditev stebra iz jekla za varnostno ograjo, C prereza, dolžine 1900 mm
</t>
  </si>
  <si>
    <t xml:space="preserve">Dobava in vgraditev zaključnice pridržne ograje za pešce (po načrtu)
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</si>
  <si>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</si>
  <si>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</si>
  <si>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</si>
  <si>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</si>
  <si>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</si>
  <si>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</si>
  <si>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7.6  Vodovodi</t>
  </si>
  <si>
    <t>76 111</t>
  </si>
  <si>
    <t>7.7  Plinovodi</t>
  </si>
  <si>
    <t>77 111</t>
  </si>
  <si>
    <t>7.9  Preizkusi, nadzor in tehnična dokumentacija</t>
  </si>
  <si>
    <t>79 311</t>
  </si>
  <si>
    <t>ur</t>
  </si>
  <si>
    <t>79 321</t>
  </si>
  <si>
    <t>79 351</t>
  </si>
  <si>
    <t>79 511</t>
  </si>
  <si>
    <t>31 132</t>
  </si>
  <si>
    <t>31 181</t>
  </si>
  <si>
    <t>3.1.4-6 Asfaltne nosilne plasti - Asphalt concrete - base (AC base)</t>
  </si>
  <si>
    <t>31 552</t>
  </si>
  <si>
    <t>31 644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</si>
  <si>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</si>
  <si>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</si>
  <si>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</si>
  <si>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</si>
  <si>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32 274</t>
  </si>
  <si>
    <t>3.2.4 Asfaltne obrabne in zaporne plasti - površinske prevleke - Surface dressing (SD)</t>
  </si>
  <si>
    <t>32 491</t>
  </si>
  <si>
    <t>32 497</t>
  </si>
  <si>
    <t>32 498</t>
  </si>
  <si>
    <t>3.5  Robni elementi vozišč</t>
  </si>
  <si>
    <t>3.5.2 Robniki</t>
  </si>
  <si>
    <t>35 214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</si>
  <si>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</si>
  <si>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</si>
  <si>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</si>
  <si>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</si>
  <si>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</si>
  <si>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</si>
  <si>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</si>
  <si>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</si>
  <si>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</si>
  <si>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 xml:space="preserve">Izdelava izravnalne plasti iz drobljenca v povprečni debelini do 5 cm
</t>
  </si>
  <si>
    <t xml:space="preserve">Pobrizg s polimerno bitumensko emulzijo 0,31 do 0,50 kg/m2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</si>
  <si>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</si>
  <si>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</si>
  <si>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</si>
  <si>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 xml:space="preserve">Višinsko prilagajanje kap obstoječe komunalne infrastrukture
</t>
  </si>
  <si>
    <t>22 % DDV</t>
  </si>
  <si>
    <t>22 117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</si>
  <si>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</si>
  <si>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</si>
  <si>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</si>
  <si>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</si>
  <si>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</si>
  <si>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64 992</t>
  </si>
  <si>
    <t>Številka načrta :</t>
  </si>
  <si>
    <t xml:space="preserve">Humuziranje brežine in zelenice brez valjanja, v debelini do 15 cm - strojno
</t>
  </si>
  <si>
    <t xml:space="preserve">Čiščenje utrjene/odrezkane površine/podlage pred pobrizgom z bitumenskim vezivom
</t>
  </si>
  <si>
    <t>43 851</t>
  </si>
  <si>
    <t>43 852</t>
  </si>
  <si>
    <t>44 996</t>
  </si>
  <si>
    <t xml:space="preserve">Doplačilo za zatravitev s semenom
</t>
  </si>
  <si>
    <t xml:space="preserve">Prevoz materiala na razdaljo nad 10 do 15 km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</si>
  <si>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uvozov v makadamu)</t>
    </r>
    <r>
      <rPr>
        <sz val="10"/>
        <color theme="1"/>
        <rFont val="Arial Narrow"/>
        <family val="2"/>
        <charset val="238"/>
      </rPr>
      <t xml:space="preserve">
</t>
    </r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</si>
  <si>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</si>
  <si>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</si>
  <si>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</si>
  <si>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</si>
  <si>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</si>
  <si>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</si>
  <si>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 xml:space="preserve">Arheološki nadzor 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</si>
  <si>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</si>
  <si>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</si>
  <si>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</si>
  <si>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t>12 182</t>
  </si>
  <si>
    <t xml:space="preserve">Posek in odstranitev vej obstoječih dreves in grmovji
</t>
  </si>
  <si>
    <t xml:space="preserve">Porušitev in odstranitev žive meje
</t>
  </si>
  <si>
    <t xml:space="preserve">Porušitev in odstranitev ograje iz žične mreže
</t>
  </si>
  <si>
    <t>32 ___</t>
  </si>
  <si>
    <r>
      <t xml:space="preserve">Porušitev in odstranitev asfaltne plasti v debelini nad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</si>
  <si>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 xml:space="preserve">Odstranitev panja s premerom 11 do 30 cm z odvozom na deponijo na razdaljo nad 100 m
</t>
  </si>
  <si>
    <t>43 853</t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</si>
  <si>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</si>
  <si>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</si>
  <si>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i/>
        <sz val="10"/>
        <color theme="1"/>
        <rFont val="Arial Narrow"/>
        <family val="2"/>
        <charset val="238"/>
      </rPr>
      <t>Izdelava temelja</t>
    </r>
    <r>
      <rPr>
        <sz val="10"/>
        <color theme="1"/>
        <rFont val="Arial Narrow"/>
        <family val="2"/>
        <charset val="238"/>
      </rPr>
      <t xml:space="preserve"> iz cementnega betona C 12/15, globine 50 cm, premera 30 cm
</t>
    </r>
  </si>
  <si>
    <t>Dobava in vgraditev nosilca pridržne ograje za pešce (po načrtu)</t>
  </si>
  <si>
    <t xml:space="preserve">Dobava in vgraditev jeklene varnostne ograje, vključno vse elemente, za nivo zadrževanja N2 in za delovno širino W5
</t>
  </si>
  <si>
    <t xml:space="preserve">Dobava in vgraditev pridržne ograje za pešce (po načrtu)
</t>
  </si>
  <si>
    <r>
      <t xml:space="preserve">Izdelava </t>
    </r>
    <r>
      <rPr>
        <b/>
        <sz val="10"/>
        <color theme="1"/>
        <rFont val="Arial Narrow"/>
        <family val="2"/>
        <charset val="238"/>
      </rPr>
      <t>vzdolžne in prečne drenaže</t>
    </r>
    <r>
      <rPr>
        <sz val="10"/>
        <color theme="1"/>
        <rFont val="Arial Narrow"/>
        <family val="2"/>
        <charset val="238"/>
      </rPr>
      <t xml:space="preserve">, globoke </t>
    </r>
    <r>
      <rPr>
        <b/>
        <sz val="10"/>
        <color theme="1"/>
        <rFont val="Arial Narrow"/>
        <family val="2"/>
        <charset val="238"/>
      </rPr>
      <t>do 1,0 m</t>
    </r>
    <r>
      <rPr>
        <sz val="10"/>
        <color theme="1"/>
        <rFont val="Arial Narrow"/>
        <family val="2"/>
        <charset val="238"/>
      </rPr>
      <t xml:space="preserve">, na podložni plasti iz cementnega betona, debeline 10 cm, z </t>
    </r>
    <r>
      <rPr>
        <b/>
        <sz val="10"/>
        <color theme="1"/>
        <rFont val="Arial Narrow"/>
        <family val="2"/>
        <charset val="238"/>
      </rPr>
      <t>gibljivimi plastičnimi cevmi</t>
    </r>
    <r>
      <rPr>
        <sz val="10"/>
        <color theme="1"/>
        <rFont val="Arial Narrow"/>
        <family val="2"/>
        <charset val="238"/>
      </rPr>
      <t xml:space="preserve"> premera </t>
    </r>
    <r>
      <rPr>
        <b/>
        <sz val="10"/>
        <color theme="1"/>
        <rFont val="Arial Narrow"/>
        <family val="2"/>
        <charset val="238"/>
      </rPr>
      <t>DN110 mm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</si>
  <si>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</si>
  <si>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Prevoz in odlaganje odpadne zmesi zemljine in kamnine ali asfaltnega rezkanca/drobljenca na deponijo izvajalca v neposredni bližini gradbišča do ponovne vgradnje
</t>
  </si>
  <si>
    <t>79 516</t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</si>
  <si>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vodovoda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</si>
  <si>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plinovoda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</si>
  <si>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</si>
  <si>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</si>
  <si>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</si>
  <si>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novega vpadnika </t>
    </r>
    <r>
      <rPr>
        <sz val="10"/>
        <rFont val="Arial Narrow"/>
        <family val="2"/>
        <charset val="238"/>
      </rPr>
      <t xml:space="preserve">ali </t>
    </r>
    <r>
      <rPr>
        <b/>
        <i/>
        <sz val="10"/>
        <rFont val="Arial Narrow"/>
        <family val="2"/>
        <charset val="238"/>
      </rPr>
      <t>novega direktnega priključka</t>
    </r>
    <r>
      <rPr>
        <sz val="10"/>
        <rFont val="Arial Narrow"/>
        <family val="2"/>
        <charset val="238"/>
      </rPr>
      <t xml:space="preserve"> cevi s priklopom na glavni kanal
</t>
    </r>
  </si>
  <si>
    <r>
      <rPr>
        <b/>
        <sz val="10"/>
        <color theme="1"/>
        <rFont val="Arial Narrow"/>
        <family val="2"/>
        <charset val="238"/>
      </rPr>
      <t xml:space="preserve">Obbetoniranje </t>
    </r>
    <r>
      <rPr>
        <sz val="10"/>
        <color theme="1"/>
        <rFont val="Arial Narrow"/>
        <family val="2"/>
        <charset val="238"/>
      </rPr>
      <t xml:space="preserve">cevi za kanalizacijo s cementnim betonom C 8/10, po detajlu iz načrta, premera </t>
    </r>
    <r>
      <rPr>
        <b/>
        <sz val="10"/>
        <color theme="1"/>
        <rFont val="Arial Narrow"/>
        <family val="2"/>
        <charset val="238"/>
      </rPr>
      <t xml:space="preserve">DN500 </t>
    </r>
    <r>
      <rPr>
        <sz val="10"/>
        <color theme="1"/>
        <rFont val="Arial Narrow"/>
        <family val="2"/>
        <charset val="238"/>
      </rPr>
      <t xml:space="preserve">mm
</t>
    </r>
  </si>
  <si>
    <t>79 371</t>
  </si>
  <si>
    <r>
      <t xml:space="preserve">ur
</t>
    </r>
    <r>
      <rPr>
        <sz val="9"/>
        <color theme="1"/>
        <rFont val="Arial Narrow"/>
        <family val="2"/>
        <charset val="238"/>
      </rPr>
      <t>(ocena)</t>
    </r>
  </si>
  <si>
    <r>
      <rPr>
        <b/>
        <i/>
        <sz val="10"/>
        <rFont val="Arial Narrow"/>
        <family val="2"/>
        <charset val="238"/>
      </rPr>
      <t>Strokovni nadzor</t>
    </r>
    <r>
      <rPr>
        <sz val="10"/>
        <rFont val="Arial Narrow"/>
        <family val="2"/>
        <charset val="238"/>
      </rPr>
      <t xml:space="preserve"> nad izvajanjem del s strani pooblaščene osebe </t>
    </r>
    <r>
      <rPr>
        <b/>
        <i/>
        <sz val="10"/>
        <rFont val="Arial Narrow"/>
        <family val="2"/>
        <charset val="238"/>
      </rPr>
      <t xml:space="preserve">upravljavca JŽI </t>
    </r>
    <r>
      <rPr>
        <sz val="10"/>
        <rFont val="Arial Narrow"/>
        <family val="2"/>
        <charset val="238"/>
      </rPr>
      <t xml:space="preserve">(SŽ)
</t>
    </r>
  </si>
  <si>
    <r>
      <rPr>
        <b/>
        <i/>
        <sz val="10"/>
        <rFont val="Arial Narrow"/>
        <family val="2"/>
        <charset val="238"/>
      </rPr>
      <t>Opravljanje pregleda</t>
    </r>
    <r>
      <rPr>
        <sz val="10"/>
        <rFont val="Arial Narrow"/>
        <family val="2"/>
        <charset val="238"/>
      </rPr>
      <t xml:space="preserve"> proge, zavarovanje prometa na nivojskih prehodih, varovanje delovne skupine, delovišča, posameznega odseka proge ali objekta oziroma izvajanje drugih nalog </t>
    </r>
    <r>
      <rPr>
        <b/>
        <i/>
        <sz val="10"/>
        <rFont val="Arial Narrow"/>
        <family val="2"/>
        <charset val="238"/>
      </rPr>
      <t xml:space="preserve">progovnega čuvaja </t>
    </r>
    <r>
      <rPr>
        <sz val="10"/>
        <rFont val="Arial Narrow"/>
        <family val="2"/>
        <charset val="238"/>
      </rPr>
      <t xml:space="preserve">(SŽ)
</t>
    </r>
  </si>
  <si>
    <t>2116-23</t>
  </si>
  <si>
    <r>
      <t>Ureditev "</t>
    </r>
    <r>
      <rPr>
        <b/>
        <sz val="12"/>
        <color theme="1"/>
        <rFont val="Arial Narrow"/>
        <family val="2"/>
        <charset val="238"/>
      </rPr>
      <t>Industrijske ceste LK-113391</t>
    </r>
    <r>
      <rPr>
        <sz val="12"/>
        <color theme="1"/>
        <rFont val="Arial Narrow"/>
        <family val="2"/>
        <charset val="238"/>
      </rPr>
      <t>"</t>
    </r>
  </si>
  <si>
    <t xml:space="preserve">Porušitev in odstranitev makadamskega vozišča v debelini do 15 cm
</t>
  </si>
  <si>
    <t>Rezanje asfaltne plasti s talno diamantno žago, debele 11 do 15 cm</t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</si>
  <si>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vozišče, parkirišče, uvozi za pločnikom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</si>
  <si>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Doplačilo za izdelavo mulde v širini 50cm
in minimalni globini 5cm ( </t>
    </r>
    <r>
      <rPr>
        <i/>
        <sz val="10"/>
        <color theme="1"/>
        <rFont val="Arial Narrow"/>
        <family val="2"/>
        <charset val="238"/>
      </rPr>
      <t xml:space="preserve">asfalt upoštevan v zgornjih postavkah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</si>
  <si>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nevezane nosilne plasti enakomerno zrnatega drobljenca iz kamnine v debelini do 25 cm  ( </t>
    </r>
    <r>
      <rPr>
        <i/>
        <sz val="10"/>
        <rFont val="Arial Narrow"/>
        <family val="2"/>
        <charset val="238"/>
      </rPr>
      <t>vozišče, parkirišče in cestni priključki</t>
    </r>
    <r>
      <rPr>
        <sz val="10"/>
        <rFont val="Arial Narrow"/>
        <family val="2"/>
        <charset val="238"/>
      </rPr>
      <t xml:space="preserve"> )
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</si>
  <si>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>AC 32 base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10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vozišče-dvosmerno, cestni priključki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</si>
  <si>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>vtočnega jaška / drenažne cevi</t>
    </r>
    <r>
      <rPr>
        <sz val="10"/>
        <rFont val="Arial Narrow"/>
        <family val="2"/>
        <charset val="238"/>
      </rPr>
      <t xml:space="preserve"> na predviden </t>
    </r>
    <r>
      <rPr>
        <b/>
        <i/>
        <sz val="10"/>
        <rFont val="Arial Narrow"/>
        <family val="2"/>
        <charset val="238"/>
      </rPr>
      <t>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</si>
  <si>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>vtočnega jaška / drenažne cevi</t>
    </r>
    <r>
      <rPr>
        <sz val="10"/>
        <rFont val="Arial Narrow"/>
        <family val="2"/>
        <charset val="238"/>
      </rPr>
      <t xml:space="preserve"> na predviden </t>
    </r>
    <r>
      <rPr>
        <b/>
        <i/>
        <sz val="10"/>
        <rFont val="Arial Narrow"/>
        <family val="2"/>
        <charset val="238"/>
      </rPr>
      <t>vtočni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</si>
  <si>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(Izdelava navezave in priklopa vtočnih jaškov na glavni kanal)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</si>
  <si>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in priklopa vtočnih jaškov na glavni kanal)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</si>
  <si>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montaža kanalizacijskih </t>
    </r>
    <r>
      <rPr>
        <b/>
        <i/>
        <sz val="10"/>
        <color theme="1"/>
        <rFont val="Arial Narrow"/>
        <family val="2"/>
        <charset val="238"/>
      </rPr>
      <t xml:space="preserve">GRP cevi </t>
    </r>
    <r>
      <rPr>
        <sz val="10"/>
        <color theme="1"/>
        <rFont val="Arial Narrow"/>
        <family val="2"/>
        <charset val="238"/>
      </rPr>
      <t xml:space="preserve">iz </t>
    </r>
    <r>
      <rPr>
        <b/>
        <i/>
        <sz val="10"/>
        <color theme="1"/>
        <rFont val="Arial Narrow"/>
        <family val="2"/>
        <charset val="238"/>
      </rPr>
      <t>ojačanega poliestra</t>
    </r>
    <r>
      <rPr>
        <sz val="10"/>
        <color theme="1"/>
        <rFont val="Arial Narrow"/>
        <family val="2"/>
        <charset val="238"/>
      </rPr>
      <t xml:space="preserve">, togostnega razreda </t>
    </r>
    <r>
      <rPr>
        <b/>
        <i/>
        <sz val="10"/>
        <color theme="1"/>
        <rFont val="Arial Narrow"/>
        <family val="2"/>
        <charset val="238"/>
      </rPr>
      <t>SN10000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i/>
        <sz val="10"/>
        <color theme="1"/>
        <rFont val="Arial Narrow"/>
        <family val="2"/>
        <charset val="238"/>
      </rPr>
      <t>DN500</t>
    </r>
    <r>
      <rPr>
        <sz val="10"/>
        <color theme="1"/>
        <rFont val="Arial Narrow"/>
        <family val="2"/>
        <charset val="238"/>
      </rPr>
      <t xml:space="preserve">, kompletno s spojkami in gumi tesnili, </t>
    </r>
    <r>
      <rPr>
        <i/>
        <sz val="10"/>
        <color theme="1"/>
        <rFont val="Arial Narrow"/>
        <family val="2"/>
        <charset val="238"/>
      </rPr>
      <t xml:space="preserve">na podložni plasti iz </t>
    </r>
    <r>
      <rPr>
        <b/>
        <i/>
        <sz val="10"/>
        <color theme="1"/>
        <rFont val="Arial Narrow"/>
        <family val="2"/>
        <charset val="238"/>
      </rPr>
      <t>cementnega betona</t>
    </r>
    <r>
      <rPr>
        <i/>
        <sz val="10"/>
        <color theme="1"/>
        <rFont val="Arial Narrow"/>
        <family val="2"/>
        <charset val="238"/>
      </rPr>
      <t>, v globini do 1,0 m  
( Prepust pod voziščem pri P41 )</t>
    </r>
    <r>
      <rPr>
        <b/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</si>
  <si>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obloge (obbetoniranje) prepusta</t>
    </r>
    <r>
      <rPr>
        <sz val="10"/>
        <color theme="1"/>
        <rFont val="Arial Narrow"/>
        <family val="2"/>
        <charset val="238"/>
      </rPr>
      <t xml:space="preserve"> krožnega prereza iz cevi s </t>
    </r>
    <r>
      <rPr>
        <b/>
        <i/>
        <sz val="10"/>
        <color theme="1"/>
        <rFont val="Arial Narrow"/>
        <family val="2"/>
        <charset val="238"/>
      </rPr>
      <t>premerom do 50 cm</t>
    </r>
    <r>
      <rPr>
        <sz val="10"/>
        <color theme="1"/>
        <rFont val="Arial Narrow"/>
        <family val="2"/>
        <charset val="238"/>
      </rPr>
      <t xml:space="preserve"> s cementnim </t>
    </r>
    <r>
      <rPr>
        <b/>
        <i/>
        <sz val="10"/>
        <color theme="1"/>
        <rFont val="Arial Narrow"/>
        <family val="2"/>
        <charset val="238"/>
      </rPr>
      <t>betonom C 12/15</t>
    </r>
    <r>
      <rPr>
        <sz val="10"/>
        <color theme="1"/>
        <rFont val="Arial Narrow"/>
        <family val="2"/>
        <charset val="238"/>
      </rPr>
      <t xml:space="preserve">, po načrtu  ( </t>
    </r>
    <r>
      <rPr>
        <i/>
        <sz val="10"/>
        <color theme="1"/>
        <rFont val="Arial Narrow"/>
        <family val="2"/>
        <charset val="238"/>
      </rPr>
      <t>Prepust pod voziščem pri P41</t>
    </r>
    <r>
      <rPr>
        <sz val="10"/>
        <color theme="1"/>
        <rFont val="Arial Narrow"/>
        <family val="2"/>
        <charset val="238"/>
      </rPr>
      <t xml:space="preserve"> ) - </t>
    </r>
    <r>
      <rPr>
        <i/>
        <sz val="10"/>
        <color theme="1"/>
        <rFont val="Arial Narrow"/>
        <family val="2"/>
        <charset val="238"/>
      </rPr>
      <t>cevi upoštevane v postavki 4.3-globinsko odvodnjavanje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</si>
  <si>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poševne vtočne / iztočne glave</t>
    </r>
    <r>
      <rPr>
        <sz val="10"/>
        <color theme="1"/>
        <rFont val="Arial Narrow"/>
        <family val="2"/>
        <charset val="238"/>
      </rPr>
      <t xml:space="preserve"> krožnega prereza iz </t>
    </r>
    <r>
      <rPr>
        <b/>
        <i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 s </t>
    </r>
    <r>
      <rPr>
        <b/>
        <i/>
        <sz val="10"/>
        <color theme="1"/>
        <rFont val="Arial Narrow"/>
        <family val="2"/>
        <charset val="238"/>
      </rPr>
      <t xml:space="preserve">premerom DN500 mm
</t>
    </r>
    <r>
      <rPr>
        <i/>
        <sz val="10"/>
        <color theme="1"/>
        <rFont val="Arial Narrow"/>
        <family val="2"/>
        <charset val="238"/>
      </rPr>
      <t>( Prepust pod voziščem pri P41 ) - cevi upoštevane v postavki 4.3-globinsko odvodnjavanje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</si>
  <si>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postavitev žičnate ograje, vključno z izdelavo betonskega temelja za nosilni stebriček žične ograje 
( </t>
    </r>
    <r>
      <rPr>
        <i/>
        <sz val="10"/>
        <color theme="1"/>
        <rFont val="Arial Narrow"/>
        <family val="2"/>
        <charset val="238"/>
      </rPr>
      <t>na območju med P10 in P24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</si>
  <si>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podprtega opaža za </t>
    </r>
    <r>
      <rPr>
        <b/>
        <i/>
        <sz val="10"/>
        <color theme="1"/>
        <rFont val="Arial Narrow"/>
        <family val="2"/>
        <charset val="238"/>
      </rPr>
      <t>ravne temelje</t>
    </r>
    <r>
      <rPr>
        <sz val="10"/>
        <color theme="1"/>
        <rFont val="Arial Narrow"/>
        <family val="2"/>
        <charset val="238"/>
      </rPr>
      <t xml:space="preserve"> ali</t>
    </r>
    <r>
      <rPr>
        <b/>
        <i/>
        <sz val="10"/>
        <color theme="1"/>
        <rFont val="Arial Narrow"/>
        <family val="2"/>
        <charset val="238"/>
      </rPr>
      <t xml:space="preserve"> nosilno ploščo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00FF"/>
        <rFont val="Arial Narrow"/>
        <family val="2"/>
        <charset val="238"/>
      </rPr>
      <t>P23 in P27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>38,00</t>
    </r>
    <r>
      <rPr>
        <i/>
        <sz val="10"/>
        <color theme="1"/>
        <rFont val="Arial Narrow"/>
        <family val="2"/>
        <charset val="238"/>
      </rPr>
      <t xml:space="preserve"> m - desno</t>
    </r>
    <r>
      <rPr>
        <sz val="10"/>
        <color theme="1"/>
        <rFont val="Arial Narrow"/>
        <family val="2"/>
        <charset val="238"/>
      </rPr>
      <t xml:space="preserve"> )</t>
    </r>
  </si>
  <si>
    <r>
      <t xml:space="preserve">Izdelava podprtega opaža za </t>
    </r>
    <r>
      <rPr>
        <b/>
        <i/>
        <sz val="10"/>
        <color theme="1"/>
        <rFont val="Arial Narrow"/>
        <family val="2"/>
        <charset val="238"/>
      </rPr>
      <t>ukrivljen temelj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8000"/>
        <rFont val="Arial Narrow"/>
        <family val="2"/>
        <charset val="238"/>
      </rPr>
      <t>P32 in P35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 xml:space="preserve">25,00 </t>
    </r>
    <r>
      <rPr>
        <i/>
        <sz val="10"/>
        <color theme="1"/>
        <rFont val="Arial Narrow"/>
        <family val="2"/>
        <charset val="238"/>
      </rPr>
      <t>m - desno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</si>
  <si>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podprtega opaža za </t>
    </r>
    <r>
      <rPr>
        <b/>
        <i/>
        <sz val="10"/>
        <color theme="1"/>
        <rFont val="Arial Narrow"/>
        <family val="2"/>
        <charset val="238"/>
      </rPr>
      <t>ukrivljen temelj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00FF"/>
        <rFont val="Arial Narrow"/>
        <family val="2"/>
        <charset val="238"/>
      </rPr>
      <t>P23 in P27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>38,00</t>
    </r>
    <r>
      <rPr>
        <i/>
        <sz val="10"/>
        <color theme="1"/>
        <rFont val="Arial Narrow"/>
        <family val="2"/>
        <charset val="238"/>
      </rPr>
      <t xml:space="preserve"> m - desno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</si>
  <si>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dvostranskega vezanega opaža za </t>
    </r>
    <r>
      <rPr>
        <b/>
        <i/>
        <sz val="10"/>
        <color theme="1"/>
        <rFont val="Arial Narrow"/>
        <family val="2"/>
        <charset val="238"/>
      </rPr>
      <t>raven zid</t>
    </r>
    <r>
      <rPr>
        <sz val="10"/>
        <color theme="1"/>
        <rFont val="Arial Narrow"/>
        <family val="2"/>
        <charset val="238"/>
      </rPr>
      <t xml:space="preserve">, 
visok </t>
    </r>
    <r>
      <rPr>
        <b/>
        <i/>
        <sz val="10"/>
        <color theme="1"/>
        <rFont val="Arial Narrow"/>
        <family val="2"/>
        <charset val="238"/>
      </rPr>
      <t>do 2 m</t>
    </r>
    <r>
      <rPr>
        <sz val="10"/>
        <color theme="1"/>
        <rFont val="Arial Narrow"/>
        <family val="2"/>
        <charset val="238"/>
      </rPr>
      <t xml:space="preserve"> 
(</t>
    </r>
    <r>
      <rPr>
        <i/>
        <sz val="10"/>
        <color theme="1"/>
        <rFont val="Arial Narrow"/>
        <family val="2"/>
        <charset val="238"/>
      </rPr>
      <t xml:space="preserve"> AB zid med</t>
    </r>
    <r>
      <rPr>
        <b/>
        <i/>
        <sz val="10"/>
        <color rgb="FF0000FF"/>
        <rFont val="Arial Narrow"/>
        <family val="2"/>
        <charset val="238"/>
      </rPr>
      <t xml:space="preserve"> P23 in P27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 xml:space="preserve">38,00 </t>
    </r>
    <r>
      <rPr>
        <i/>
        <sz val="10"/>
        <color theme="1"/>
        <rFont val="Arial Narrow"/>
        <family val="2"/>
        <charset val="238"/>
      </rPr>
      <t>m - desno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</si>
  <si>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dvostranskega vezanega opaža za </t>
    </r>
    <r>
      <rPr>
        <b/>
        <i/>
        <sz val="10"/>
        <color theme="1"/>
        <rFont val="Arial Narrow"/>
        <family val="2"/>
        <charset val="238"/>
      </rPr>
      <t>ukrivljen zid</t>
    </r>
    <r>
      <rPr>
        <sz val="10"/>
        <color theme="1"/>
        <rFont val="Arial Narrow"/>
        <family val="2"/>
        <charset val="238"/>
      </rPr>
      <t xml:space="preserve">, 
visok </t>
    </r>
    <r>
      <rPr>
        <b/>
        <i/>
        <sz val="10"/>
        <color theme="1"/>
        <rFont val="Arial Narrow"/>
        <family val="2"/>
        <charset val="238"/>
      </rPr>
      <t>do 2 m</t>
    </r>
    <r>
      <rPr>
        <sz val="10"/>
        <color theme="1"/>
        <rFont val="Arial Narrow"/>
        <family val="2"/>
        <charset val="238"/>
      </rPr>
      <t xml:space="preserve"> 
(</t>
    </r>
    <r>
      <rPr>
        <i/>
        <sz val="10"/>
        <color theme="1"/>
        <rFont val="Arial Narrow"/>
        <family val="2"/>
        <charset val="238"/>
      </rPr>
      <t xml:space="preserve"> AB zid med</t>
    </r>
    <r>
      <rPr>
        <b/>
        <i/>
        <sz val="10"/>
        <color rgb="FF0000FF"/>
        <rFont val="Arial Narrow"/>
        <family val="2"/>
        <charset val="238"/>
      </rPr>
      <t xml:space="preserve"> P23 in P27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 xml:space="preserve">38,00 </t>
    </r>
    <r>
      <rPr>
        <i/>
        <sz val="10"/>
        <color theme="1"/>
        <rFont val="Arial Narrow"/>
        <family val="2"/>
        <charset val="238"/>
      </rPr>
      <t>m - desno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</si>
  <si>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dvostranskega vezanega opaža za </t>
    </r>
    <r>
      <rPr>
        <b/>
        <i/>
        <sz val="10"/>
        <color theme="1"/>
        <rFont val="Arial Narrow"/>
        <family val="2"/>
        <charset val="238"/>
      </rPr>
      <t>ukrivljen zid</t>
    </r>
    <r>
      <rPr>
        <sz val="10"/>
        <color theme="1"/>
        <rFont val="Arial Narrow"/>
        <family val="2"/>
        <charset val="238"/>
      </rPr>
      <t xml:space="preserve">, 
visok </t>
    </r>
    <r>
      <rPr>
        <b/>
        <i/>
        <sz val="10"/>
        <color theme="1"/>
        <rFont val="Arial Narrow"/>
        <family val="2"/>
        <charset val="238"/>
      </rPr>
      <t>od 2,1 m do 4,0 m</t>
    </r>
    <r>
      <rPr>
        <sz val="10"/>
        <color theme="1"/>
        <rFont val="Arial Narrow"/>
        <family val="2"/>
        <charset val="238"/>
      </rPr>
      <t xml:space="preserve"> 
(</t>
    </r>
    <r>
      <rPr>
        <i/>
        <sz val="10"/>
        <color theme="1"/>
        <rFont val="Arial Narrow"/>
        <family val="2"/>
        <charset val="238"/>
      </rPr>
      <t xml:space="preserve"> AB zid med</t>
    </r>
    <r>
      <rPr>
        <b/>
        <i/>
        <sz val="10"/>
        <color rgb="FF0000FF"/>
        <rFont val="Arial Narrow"/>
        <family val="2"/>
        <charset val="238"/>
      </rPr>
      <t xml:space="preserve"> </t>
    </r>
    <r>
      <rPr>
        <b/>
        <i/>
        <sz val="10"/>
        <color rgb="FF008000"/>
        <rFont val="Arial Narrow"/>
        <family val="2"/>
        <charset val="238"/>
      </rPr>
      <t>P32 in P35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 xml:space="preserve">25,00 </t>
    </r>
    <r>
      <rPr>
        <i/>
        <sz val="10"/>
        <color theme="1"/>
        <rFont val="Arial Narrow"/>
        <family val="2"/>
        <charset val="238"/>
      </rPr>
      <t>m - desno</t>
    </r>
    <r>
      <rPr>
        <sz val="10"/>
        <color theme="1"/>
        <rFont val="Arial Narrow"/>
        <family val="2"/>
        <charset val="238"/>
      </rPr>
      <t xml:space="preserve"> )
</t>
    </r>
  </si>
  <si>
    <t>51 212
a</t>
  </si>
  <si>
    <t>51 212
b</t>
  </si>
  <si>
    <r>
      <t>Dobava in postavitev</t>
    </r>
    <r>
      <rPr>
        <b/>
        <i/>
        <sz val="10"/>
        <color theme="1"/>
        <rFont val="Arial Narrow"/>
        <family val="2"/>
        <charset val="238"/>
      </rPr>
      <t xml:space="preserve"> rebrastih žic</t>
    </r>
    <r>
      <rPr>
        <sz val="10"/>
        <color theme="1"/>
        <rFont val="Arial Narrow"/>
        <family val="2"/>
        <charset val="238"/>
      </rPr>
      <t xml:space="preserve"> iz visokovrednega naravno trdega jekla </t>
    </r>
    <r>
      <rPr>
        <b/>
        <i/>
        <sz val="10"/>
        <color theme="1"/>
        <rFont val="Arial Narrow"/>
        <family val="2"/>
        <charset val="238"/>
      </rPr>
      <t>B St 500 S</t>
    </r>
    <r>
      <rPr>
        <sz val="10"/>
        <color theme="1"/>
        <rFont val="Arial Narrow"/>
        <family val="2"/>
        <charset val="238"/>
      </rPr>
      <t xml:space="preserve"> s premerom do</t>
    </r>
    <r>
      <rPr>
        <b/>
        <i/>
        <sz val="10"/>
        <color theme="1"/>
        <rFont val="Arial Narrow"/>
        <family val="2"/>
        <charset val="238"/>
      </rPr>
      <t xml:space="preserve"> 12 mm</t>
    </r>
    <r>
      <rPr>
        <sz val="10"/>
        <color theme="1"/>
        <rFont val="Arial Narrow"/>
        <family val="2"/>
        <charset val="238"/>
      </rPr>
      <t xml:space="preserve">, za enostavno ojačitev 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00FF"/>
        <rFont val="Arial Narrow"/>
        <family val="2"/>
        <charset val="238"/>
      </rPr>
      <t>P23 in P27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>38,00</t>
    </r>
    <r>
      <rPr>
        <i/>
        <sz val="10"/>
        <color theme="1"/>
        <rFont val="Arial Narrow"/>
        <family val="2"/>
        <charset val="238"/>
      </rPr>
      <t xml:space="preserve"> m - desno</t>
    </r>
    <r>
      <rPr>
        <sz val="10"/>
        <color theme="1"/>
        <rFont val="Arial Narrow"/>
        <family val="2"/>
        <charset val="238"/>
      </rPr>
      <t xml:space="preserve"> )
</t>
    </r>
  </si>
  <si>
    <r>
      <t>Dobava in postavitev</t>
    </r>
    <r>
      <rPr>
        <b/>
        <i/>
        <sz val="10"/>
        <color theme="1"/>
        <rFont val="Arial Narrow"/>
        <family val="2"/>
        <charset val="238"/>
      </rPr>
      <t xml:space="preserve"> rebrastih žic</t>
    </r>
    <r>
      <rPr>
        <sz val="10"/>
        <color theme="1"/>
        <rFont val="Arial Narrow"/>
        <family val="2"/>
        <charset val="238"/>
      </rPr>
      <t xml:space="preserve"> iz visokovrednega naravno trdega jekla </t>
    </r>
    <r>
      <rPr>
        <b/>
        <i/>
        <sz val="10"/>
        <color theme="1"/>
        <rFont val="Arial Narrow"/>
        <family val="2"/>
        <charset val="238"/>
      </rPr>
      <t>B St 500 S</t>
    </r>
    <r>
      <rPr>
        <sz val="10"/>
        <color theme="1"/>
        <rFont val="Arial Narrow"/>
        <family val="2"/>
        <charset val="238"/>
      </rPr>
      <t xml:space="preserve"> s premerom do</t>
    </r>
    <r>
      <rPr>
        <b/>
        <i/>
        <sz val="10"/>
        <color theme="1"/>
        <rFont val="Arial Narrow"/>
        <family val="2"/>
        <charset val="238"/>
      </rPr>
      <t xml:space="preserve"> 14 mm</t>
    </r>
    <r>
      <rPr>
        <sz val="10"/>
        <color theme="1"/>
        <rFont val="Arial Narrow"/>
        <family val="2"/>
        <charset val="238"/>
      </rPr>
      <t xml:space="preserve">, za enostavno ojačitev 
</t>
    </r>
    <r>
      <rPr>
        <i/>
        <sz val="10"/>
        <color theme="1"/>
        <rFont val="Arial Narrow"/>
        <family val="2"/>
        <charset val="238"/>
      </rPr>
      <t xml:space="preserve">( AB zid med </t>
    </r>
    <r>
      <rPr>
        <b/>
        <i/>
        <sz val="10"/>
        <color rgb="FF008000"/>
        <rFont val="Arial Narrow"/>
        <family val="2"/>
        <charset val="238"/>
      </rPr>
      <t>P32 in P35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>25,00</t>
    </r>
    <r>
      <rPr>
        <i/>
        <sz val="10"/>
        <color theme="1"/>
        <rFont val="Arial Narrow"/>
        <family val="2"/>
        <charset val="238"/>
      </rPr>
      <t xml:space="preserve"> m - desno )</t>
    </r>
    <r>
      <rPr>
        <sz val="10"/>
        <color theme="1"/>
        <rFont val="Arial Narrow"/>
        <family val="2"/>
        <charset val="238"/>
      </rPr>
      <t xml:space="preserve">
</t>
    </r>
  </si>
  <si>
    <t>52 221
a</t>
  </si>
  <si>
    <t>52 221
b</t>
  </si>
  <si>
    <t>52 811
a</t>
  </si>
  <si>
    <t>52 811
b</t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</si>
  <si>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armaturne mreže Q335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00FF"/>
        <rFont val="Arial Narrow"/>
        <family val="2"/>
        <charset val="238"/>
      </rPr>
      <t>P23 in P27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>38,00</t>
    </r>
    <r>
      <rPr>
        <i/>
        <sz val="10"/>
        <color theme="1"/>
        <rFont val="Arial Narrow"/>
        <family val="2"/>
        <charset val="238"/>
      </rPr>
      <t xml:space="preserve"> m - desno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</si>
  <si>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armaturne mreže Q335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8000"/>
        <rFont val="Arial Narrow"/>
        <family val="2"/>
        <charset val="238"/>
      </rPr>
      <t>P32 in P35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 xml:space="preserve">25,00 </t>
    </r>
    <r>
      <rPr>
        <i/>
        <sz val="10"/>
        <color theme="1"/>
        <rFont val="Arial Narrow"/>
        <family val="2"/>
        <charset val="238"/>
      </rPr>
      <t>m - desno</t>
    </r>
    <r>
      <rPr>
        <sz val="10"/>
        <color theme="1"/>
        <rFont val="Arial Narrow"/>
        <family val="2"/>
        <charset val="238"/>
      </rPr>
      <t xml:space="preserve"> )
</t>
    </r>
  </si>
  <si>
    <t>53 116
a</t>
  </si>
  <si>
    <t>53 116
b</t>
  </si>
  <si>
    <r>
      <t xml:space="preserve">Dobava in vgraditev ojačenega </t>
    </r>
    <r>
      <rPr>
        <b/>
        <i/>
        <sz val="10"/>
        <color theme="1"/>
        <rFont val="Arial Narrow"/>
        <family val="2"/>
        <charset val="238"/>
      </rPr>
      <t>cementnega betona C30/37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v temelje</t>
    </r>
    <r>
      <rPr>
        <sz val="10"/>
        <color theme="1"/>
        <rFont val="Arial Narrow"/>
        <family val="2"/>
        <charset val="238"/>
      </rPr>
      <t xml:space="preserve"> opornih ali podpornih </t>
    </r>
    <r>
      <rPr>
        <b/>
        <i/>
        <sz val="10"/>
        <color theme="1"/>
        <rFont val="Arial Narrow"/>
        <family val="2"/>
        <charset val="238"/>
      </rPr>
      <t>AB zidov</t>
    </r>
    <r>
      <rPr>
        <sz val="10"/>
        <color theme="1"/>
        <rFont val="Arial Narrow"/>
        <family val="2"/>
        <charset val="238"/>
      </rPr>
      <t xml:space="preserve">
- vključno z dodatki: XC2, PV-II
- Dmax = 16/32 mm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00FF"/>
        <rFont val="Arial Narrow"/>
        <family val="2"/>
        <charset val="238"/>
      </rPr>
      <t>P23 in P27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>38,00</t>
    </r>
    <r>
      <rPr>
        <i/>
        <sz val="10"/>
        <color theme="1"/>
        <rFont val="Arial Narrow"/>
        <family val="2"/>
        <charset val="238"/>
      </rPr>
      <t xml:space="preserve"> m - desno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</si>
  <si>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ojačenega </t>
    </r>
    <r>
      <rPr>
        <b/>
        <i/>
        <sz val="10"/>
        <color theme="1"/>
        <rFont val="Arial Narrow"/>
        <family val="2"/>
        <charset val="238"/>
      </rPr>
      <t>cementnega betona C30/37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v temelje</t>
    </r>
    <r>
      <rPr>
        <sz val="10"/>
        <color theme="1"/>
        <rFont val="Arial Narrow"/>
        <family val="2"/>
        <charset val="238"/>
      </rPr>
      <t xml:space="preserve"> opornih ali podpornih </t>
    </r>
    <r>
      <rPr>
        <b/>
        <i/>
        <sz val="10"/>
        <color theme="1"/>
        <rFont val="Arial Narrow"/>
        <family val="2"/>
        <charset val="238"/>
      </rPr>
      <t>AB zidov</t>
    </r>
    <r>
      <rPr>
        <sz val="10"/>
        <color theme="1"/>
        <rFont val="Arial Narrow"/>
        <family val="2"/>
        <charset val="238"/>
      </rPr>
      <t xml:space="preserve">
- vključno z dodatki: XC2, PV-II
- Dmax = 16/32 mm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8000"/>
        <rFont val="Arial Narrow"/>
        <family val="2"/>
        <charset val="238"/>
      </rPr>
      <t>P32 in P35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>25,00</t>
    </r>
    <r>
      <rPr>
        <i/>
        <sz val="10"/>
        <color theme="1"/>
        <rFont val="Arial Narrow"/>
        <family val="2"/>
        <charset val="238"/>
      </rPr>
      <t xml:space="preserve"> m - desno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</si>
  <si>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podložnega cementnega betona C12/15</t>
    </r>
    <r>
      <rPr>
        <sz val="10"/>
        <color theme="1"/>
        <rFont val="Arial Narrow"/>
        <family val="2"/>
        <charset val="238"/>
      </rPr>
      <t xml:space="preserve"> v prerez </t>
    </r>
    <r>
      <rPr>
        <b/>
        <i/>
        <sz val="10"/>
        <color theme="1"/>
        <rFont val="Arial Narrow"/>
        <family val="2"/>
        <charset val="238"/>
      </rPr>
      <t xml:space="preserve">do 0,15 m3/m2-m1
</t>
    </r>
    <r>
      <rPr>
        <sz val="10"/>
        <color theme="1"/>
        <rFont val="Arial Narrow"/>
        <family val="2"/>
        <charset val="238"/>
      </rPr>
      <t xml:space="preserve">- vključno z dodatki: XC0, PV-II
- Dmax=16/32 mm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00FF"/>
        <rFont val="Arial Narrow"/>
        <family val="2"/>
        <charset val="238"/>
      </rPr>
      <t>P23 in P27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 xml:space="preserve">38,00 </t>
    </r>
    <r>
      <rPr>
        <i/>
        <sz val="10"/>
        <color theme="1"/>
        <rFont val="Arial Narrow"/>
        <family val="2"/>
        <charset val="238"/>
      </rPr>
      <t>m - desno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</si>
  <si>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podložnega cementnega betona C12/15</t>
    </r>
    <r>
      <rPr>
        <sz val="10"/>
        <color theme="1"/>
        <rFont val="Arial Narrow"/>
        <family val="2"/>
        <charset val="238"/>
      </rPr>
      <t xml:space="preserve"> v prerez </t>
    </r>
    <r>
      <rPr>
        <b/>
        <i/>
        <sz val="10"/>
        <color theme="1"/>
        <rFont val="Arial Narrow"/>
        <family val="2"/>
        <charset val="238"/>
      </rPr>
      <t>do 0,15 m3/m2-m1</t>
    </r>
    <r>
      <rPr>
        <sz val="10"/>
        <color theme="1"/>
        <rFont val="Arial Narrow"/>
        <family val="2"/>
        <charset val="238"/>
      </rPr>
      <t xml:space="preserve">
- vključno z dodatki: XC0, PV-II
- Dmax=16/32 mm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8000"/>
        <rFont val="Arial Narrow"/>
        <family val="2"/>
        <charset val="238"/>
      </rPr>
      <t>P32 in P35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 xml:space="preserve">25,00 </t>
    </r>
    <r>
      <rPr>
        <i/>
        <sz val="10"/>
        <color theme="1"/>
        <rFont val="Arial Narrow"/>
        <family val="2"/>
        <charset val="238"/>
      </rPr>
      <t>m - desno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</si>
  <si>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ojačenega </t>
    </r>
    <r>
      <rPr>
        <b/>
        <i/>
        <sz val="10"/>
        <color theme="1"/>
        <rFont val="Arial Narrow"/>
        <family val="2"/>
        <charset val="238"/>
      </rPr>
      <t>cementnega betona C30/37 v stene</t>
    </r>
    <r>
      <rPr>
        <sz val="10"/>
        <color theme="1"/>
        <rFont val="Arial Narrow"/>
        <family val="2"/>
        <charset val="238"/>
      </rPr>
      <t xml:space="preserve"> podpornih ali opornih </t>
    </r>
    <r>
      <rPr>
        <b/>
        <i/>
        <sz val="10"/>
        <color theme="1"/>
        <rFont val="Arial Narrow"/>
        <family val="2"/>
        <charset val="238"/>
      </rPr>
      <t>AB zidov</t>
    </r>
    <r>
      <rPr>
        <sz val="10"/>
        <color theme="1"/>
        <rFont val="Arial Narrow"/>
        <family val="2"/>
        <charset val="238"/>
      </rPr>
      <t xml:space="preserve">
- vključno z dodatki: XC4, XD1, XF2 in PV-II
- Dmax = 16/32 mm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00FF"/>
        <rFont val="Arial Narrow"/>
        <family val="2"/>
        <charset val="238"/>
      </rPr>
      <t>P23 in P27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 xml:space="preserve">38,00 </t>
    </r>
    <r>
      <rPr>
        <i/>
        <sz val="10"/>
        <color theme="1"/>
        <rFont val="Arial Narrow"/>
        <family val="2"/>
        <charset val="238"/>
      </rPr>
      <t xml:space="preserve">m - desno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</si>
  <si>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vgraditev ojačenega </t>
    </r>
    <r>
      <rPr>
        <b/>
        <i/>
        <sz val="10"/>
        <color theme="1"/>
        <rFont val="Arial Narrow"/>
        <family val="2"/>
        <charset val="238"/>
      </rPr>
      <t>cementnega betona C30/37 v stene</t>
    </r>
    <r>
      <rPr>
        <sz val="10"/>
        <color theme="1"/>
        <rFont val="Arial Narrow"/>
        <family val="2"/>
        <charset val="238"/>
      </rPr>
      <t xml:space="preserve"> podpornih ali opornih </t>
    </r>
    <r>
      <rPr>
        <b/>
        <i/>
        <sz val="10"/>
        <color theme="1"/>
        <rFont val="Arial Narrow"/>
        <family val="2"/>
        <charset val="238"/>
      </rPr>
      <t>AB zidov</t>
    </r>
    <r>
      <rPr>
        <sz val="10"/>
        <color theme="1"/>
        <rFont val="Arial Narrow"/>
        <family val="2"/>
        <charset val="238"/>
      </rPr>
      <t xml:space="preserve">
- vključno z dodatki: XC4, XD1, XF2 in PV-II
- Dmax = 16/32 mm
( </t>
    </r>
    <r>
      <rPr>
        <i/>
        <sz val="10"/>
        <color theme="1"/>
        <rFont val="Arial Narrow"/>
        <family val="2"/>
        <charset val="238"/>
      </rPr>
      <t xml:space="preserve">AB zid med </t>
    </r>
    <r>
      <rPr>
        <b/>
        <i/>
        <sz val="10"/>
        <color rgb="FF008000"/>
        <rFont val="Arial Narrow"/>
        <family val="2"/>
        <charset val="238"/>
      </rPr>
      <t>P32 in P35</t>
    </r>
    <r>
      <rPr>
        <i/>
        <sz val="10"/>
        <color theme="1"/>
        <rFont val="Arial Narrow"/>
        <family val="2"/>
        <charset val="238"/>
      </rPr>
      <t xml:space="preserve">, dolžine </t>
    </r>
    <r>
      <rPr>
        <b/>
        <i/>
        <sz val="10"/>
        <color theme="1"/>
        <rFont val="Arial Narrow"/>
        <family val="2"/>
        <charset val="238"/>
      </rPr>
      <t xml:space="preserve">25,00 </t>
    </r>
    <r>
      <rPr>
        <i/>
        <sz val="10"/>
        <color theme="1"/>
        <rFont val="Arial Narrow"/>
        <family val="2"/>
        <charset val="238"/>
      </rPr>
      <t>m - desno</t>
    </r>
    <r>
      <rPr>
        <sz val="10"/>
        <color theme="1"/>
        <rFont val="Arial Narrow"/>
        <family val="2"/>
        <charset val="238"/>
      </rPr>
      <t xml:space="preserve"> )
</t>
    </r>
  </si>
  <si>
    <t>Široki izkop vezljive zemljine – 3. kategorije – strojno z nakladanjem</t>
  </si>
  <si>
    <t xml:space="preserve">Ureditev planuma temeljnih tal za izvedbo podložnega betona betonskih opornih AB zidov
</t>
  </si>
  <si>
    <t xml:space="preserve">Izkop vezljive zemljine/zrnate kamnine – 3. kategorije za temelje, zidove, kanalske rove, prepuste, jaške in drenaže, širine do 1,0 m in globine do 1,0 m – strojno, planiranje dna ročno
</t>
  </si>
  <si>
    <t xml:space="preserve">Izkop vezljive zemljine/zrnate kamnine – 3. kategorije za temelje, zidove, kanalske rove, prepuste, jaške in drenaže, širine do 1,0 m in globine 1,1 do 2,0 m – strojno, planiranje dna ročno
</t>
  </si>
  <si>
    <r>
      <t>Izdelava posteljice v debelini plasti do 40 cm iz zrnate kamnine – 3. kategorije  (</t>
    </r>
    <r>
      <rPr>
        <i/>
        <sz val="10"/>
        <color theme="1"/>
        <rFont val="Arial Narrow"/>
        <family val="2"/>
        <charset val="238"/>
      </rPr>
      <t xml:space="preserve"> vozišče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</si>
  <si>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predfabriciranega </t>
    </r>
    <r>
      <rPr>
        <b/>
        <i/>
        <sz val="10"/>
        <color theme="1"/>
        <rFont val="Arial Narrow"/>
        <family val="2"/>
        <charset val="238"/>
      </rPr>
      <t>dvignjenega robnika iz cementnega betona</t>
    </r>
    <r>
      <rPr>
        <sz val="10"/>
        <color theme="1"/>
        <rFont val="Arial Narrow"/>
        <family val="2"/>
        <charset val="238"/>
      </rPr>
      <t xml:space="preserve"> s prerezom </t>
    </r>
    <r>
      <rPr>
        <b/>
        <i/>
        <sz val="10"/>
        <color theme="1"/>
        <rFont val="Arial Narrow"/>
        <family val="2"/>
        <charset val="238"/>
      </rPr>
      <t>15/25 cm</t>
    </r>
    <r>
      <rPr>
        <sz val="10"/>
        <color theme="1"/>
        <rFont val="Arial Narrow"/>
        <family val="2"/>
        <charset val="238"/>
      </rPr>
      <t xml:space="preserve">
</t>
    </r>
  </si>
  <si>
    <t>8.    NEPREDVIDENA DELA 10%</t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</si>
  <si>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elektro-energetskega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cev-npr.: stigmaflex DN160,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</si>
  <si>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cev-npr.: stigmaflex DN110,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</si>
  <si>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t>62 631</t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</si>
  <si>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debeloslojne </t>
    </r>
    <r>
      <rPr>
        <sz val="10"/>
        <rFont val="Arial Narrow"/>
        <family val="2"/>
        <charset val="238"/>
      </rPr>
      <t xml:space="preserve">vzdolžne označbe na vozišču z večkomponentno hladno plastiko </t>
    </r>
    <r>
      <rPr>
        <b/>
        <i/>
        <sz val="10"/>
        <rFont val="Arial Narrow"/>
        <family val="2"/>
        <charset val="238"/>
      </rPr>
      <t xml:space="preserve">rdeče barve </t>
    </r>
    <r>
      <rPr>
        <sz val="10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rFont val="Arial Narrow"/>
        <family val="2"/>
        <charset val="238"/>
      </rPr>
      <t>200 g/m2</t>
    </r>
    <r>
      <rPr>
        <sz val="10"/>
        <rFont val="Arial Narrow"/>
        <family val="2"/>
        <charset val="238"/>
      </rPr>
      <t xml:space="preserve"> dodatnega posipa z drobci stekla, strojno, debelina plasti</t>
    </r>
    <r>
      <rPr>
        <b/>
        <i/>
        <sz val="10"/>
        <rFont val="Arial Narrow"/>
        <family val="2"/>
        <charset val="238"/>
      </rPr>
      <t xml:space="preserve"> 3 mm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 xml:space="preserve">širina črte 20 cm </t>
    </r>
    <r>
      <rPr>
        <i/>
        <sz val="10"/>
        <rFont val="Arial Narrow"/>
        <family val="2"/>
        <charset val="238"/>
      </rPr>
      <t xml:space="preserve"> ( 5233 )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</si>
  <si>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prečne in ostalih označb na vozišču z večkomponentno hladno plastiko </t>
    </r>
    <r>
      <rPr>
        <b/>
        <i/>
        <sz val="10"/>
        <rFont val="Arial Narrow"/>
        <family val="2"/>
        <charset val="238"/>
      </rPr>
      <t>bele barve</t>
    </r>
    <r>
      <rPr>
        <sz val="10"/>
        <rFont val="Arial Narrow"/>
        <family val="2"/>
        <charset val="238"/>
      </rPr>
      <t xml:space="preserve"> z vmešanimi drobci / kroglicami stekla, vključno 200 g/m2 dodatnega posipa z drobci stekla, strojno, debelina plasti 3 mm, posamezna </t>
    </r>
    <r>
      <rPr>
        <b/>
        <i/>
        <sz val="10"/>
        <rFont val="Arial Narrow"/>
        <family val="2"/>
        <charset val="238"/>
      </rPr>
      <t>površina označbe do 0,5 m2</t>
    </r>
    <r>
      <rPr>
        <sz val="10"/>
        <rFont val="Arial Narrow"/>
        <family val="2"/>
        <charset val="238"/>
      </rPr>
      <t xml:space="preserve">
</t>
    </r>
    <r>
      <rPr>
        <i/>
        <sz val="10"/>
        <rFont val="Arial Narrow"/>
        <family val="2"/>
        <charset val="238"/>
      </rPr>
      <t xml:space="preserve">- puščice na kolesarskih površinah:
  5411, 5412, 5413, 5421 in 5422; 
- piktogrami na kolesarskih površinah: 5609-1.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</si>
  <si>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vzdolžne označbe na vozišču z večkomponentno hladno plastiko </t>
    </r>
    <r>
      <rPr>
        <b/>
        <i/>
        <sz val="10"/>
        <rFont val="Arial Narrow"/>
        <family val="2"/>
        <charset val="238"/>
      </rPr>
      <t xml:space="preserve">bele barve </t>
    </r>
    <r>
      <rPr>
        <sz val="10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rFont val="Arial Narrow"/>
        <family val="2"/>
        <charset val="238"/>
      </rPr>
      <t>200 g/m2</t>
    </r>
    <r>
      <rPr>
        <sz val="10"/>
        <rFont val="Arial Narrow"/>
        <family val="2"/>
        <charset val="238"/>
      </rPr>
      <t xml:space="preserve"> dodatnega posipa z drobci stekla, strojno, debelina plasti</t>
    </r>
    <r>
      <rPr>
        <b/>
        <i/>
        <sz val="10"/>
        <rFont val="Arial Narrow"/>
        <family val="2"/>
        <charset val="238"/>
      </rPr>
      <t xml:space="preserve"> 3 mm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 xml:space="preserve">širina črte 12 cm 
</t>
    </r>
    <r>
      <rPr>
        <i/>
        <sz val="10"/>
        <rFont val="Arial Narrow"/>
        <family val="2"/>
        <charset val="238"/>
      </rPr>
      <t xml:space="preserve">( 5111 in 5121-3 )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</si>
  <si>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prečne in ostalih označb na vozišču z večkomponentno hladno plastiko </t>
    </r>
    <r>
      <rPr>
        <b/>
        <i/>
        <sz val="10"/>
        <rFont val="Arial Narrow"/>
        <family val="2"/>
        <charset val="238"/>
      </rPr>
      <t>rumene barve</t>
    </r>
    <r>
      <rPr>
        <sz val="10"/>
        <rFont val="Arial Narrow"/>
        <family val="2"/>
        <charset val="238"/>
      </rPr>
      <t xml:space="preserve"> z vmešanimi drobci / kroglicami stekla, vključno 200 g/m2 dodatnega posipa z drobci stekla, strojno, debelina plasti 3 mm, posamezna </t>
    </r>
    <r>
      <rPr>
        <b/>
        <i/>
        <sz val="10"/>
        <rFont val="Arial Narrow"/>
        <family val="2"/>
        <charset val="238"/>
      </rPr>
      <t xml:space="preserve">površina označbe 0,6 do 1,1 m2  </t>
    </r>
    <r>
      <rPr>
        <i/>
        <sz val="10"/>
        <rFont val="Arial Narrow"/>
        <family val="2"/>
        <charset val="238"/>
      </rPr>
      <t xml:space="preserve">( 5335-1 )
</t>
    </r>
  </si>
  <si>
    <r>
      <t>Doplačilo za izdelavo</t>
    </r>
    <r>
      <rPr>
        <b/>
        <i/>
        <sz val="10"/>
        <rFont val="Arial Narrow"/>
        <family val="2"/>
        <charset val="238"/>
      </rPr>
      <t xml:space="preserve"> prekinjenih</t>
    </r>
    <r>
      <rPr>
        <sz val="10"/>
        <rFont val="Arial Narrow"/>
        <family val="2"/>
        <charset val="238"/>
      </rPr>
      <t xml:space="preserve"> vzdolžnih označb na vozišču, </t>
    </r>
    <r>
      <rPr>
        <b/>
        <i/>
        <sz val="10"/>
        <rFont val="Arial Narrow"/>
        <family val="2"/>
        <charset val="238"/>
      </rPr>
      <t>širina črte</t>
    </r>
    <r>
      <rPr>
        <sz val="10"/>
        <rFont val="Arial Narrow"/>
        <family val="2"/>
        <charset val="238"/>
      </rPr>
      <t xml:space="preserve"> </t>
    </r>
    <r>
      <rPr>
        <b/>
        <i/>
        <sz val="10"/>
        <rFont val="Arial Narrow"/>
        <family val="2"/>
        <charset val="238"/>
      </rPr>
      <t>12 cm</t>
    </r>
    <r>
      <rPr>
        <sz val="10"/>
        <rFont val="Arial Narrow"/>
        <family val="2"/>
        <charset val="238"/>
      </rPr>
      <t xml:space="preserve">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</si>
  <si>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ukrivljene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>, s prerezom</t>
    </r>
    <r>
      <rPr>
        <b/>
        <i/>
        <sz val="10"/>
        <color theme="1"/>
        <rFont val="Arial Narrow"/>
        <family val="2"/>
        <charset val="238"/>
      </rPr>
      <t xml:space="preserve"> 400/400 mm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vtočni jaški v muldi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</si>
  <si>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 xml:space="preserve">, vključno z vrtanjem odprtin in izdelavo </t>
    </r>
    <r>
      <rPr>
        <b/>
        <i/>
        <sz val="10"/>
        <rFont val="Arial Narrow"/>
        <family val="2"/>
        <charset val="238"/>
      </rPr>
      <t>AB venca</t>
    </r>
    <r>
      <rPr>
        <sz val="10"/>
        <rFont val="Arial Narrow"/>
        <family val="2"/>
        <charset val="238"/>
      </rPr>
      <t xml:space="preserve"> in </t>
    </r>
    <r>
      <rPr>
        <b/>
        <i/>
        <sz val="10"/>
        <rFont val="Arial Narrow"/>
        <family val="2"/>
        <charset val="238"/>
      </rPr>
      <t>AB temeljne plošče</t>
    </r>
    <r>
      <rPr>
        <sz val="10"/>
        <rFont val="Arial Narrow"/>
        <family val="2"/>
        <charset val="238"/>
      </rPr>
      <t xml:space="preserve"> iz betona </t>
    </r>
    <r>
      <rPr>
        <b/>
        <i/>
        <sz val="10"/>
        <rFont val="Arial Narrow"/>
        <family val="2"/>
        <charset val="238"/>
      </rPr>
      <t>C25/30</t>
    </r>
    <r>
      <rPr>
        <sz val="10"/>
        <rFont val="Arial Narrow"/>
        <family val="2"/>
        <charset val="238"/>
      </rPr>
      <t xml:space="preserve">
( </t>
    </r>
    <r>
      <rPr>
        <i/>
        <sz val="10"/>
        <rFont val="Arial Narrow"/>
        <family val="2"/>
        <charset val="238"/>
      </rPr>
      <t>vtočni jašek-VJ s peskolovom )</t>
    </r>
    <r>
      <rPr>
        <sz val="10"/>
        <rFont val="Arial Narrow"/>
        <family val="2"/>
        <charset val="238"/>
      </rPr>
      <t xml:space="preserve">
</t>
    </r>
  </si>
  <si>
    <r>
      <t xml:space="preserve">Industrijska cesta LK-113391 - </t>
    </r>
    <r>
      <rPr>
        <b/>
        <sz val="12"/>
        <color rgb="FF0000CC"/>
        <rFont val="Arial Narrow"/>
        <family val="2"/>
        <charset val="238"/>
      </rPr>
      <t>CESTA</t>
    </r>
    <r>
      <rPr>
        <b/>
        <sz val="12"/>
        <rFont val="Arial Narrow"/>
        <family val="2"/>
        <charset val="238"/>
      </rPr>
      <t xml:space="preserve">
</t>
    </r>
    <r>
      <rPr>
        <i/>
        <sz val="12"/>
        <rFont val="Arial Narrow"/>
        <family val="2"/>
        <charset val="238"/>
      </rPr>
      <t>(dvosmerno vozišče)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</si>
  <si>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
</t>
    </r>
    <r>
      <rPr>
        <i/>
        <sz val="10"/>
        <color theme="1"/>
        <rFont val="Arial Narrow"/>
        <family val="2"/>
        <charset val="238"/>
      </rPr>
      <t>( parkirišča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</si>
  <si>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okroglega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>belo/rdečo/modro</t>
    </r>
    <r>
      <rPr>
        <sz val="10"/>
        <color theme="1"/>
        <rFont val="Arial Narrow"/>
        <family val="2"/>
        <charset val="238"/>
      </rPr>
      <t xml:space="preserve"> 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rFont val="Arial Narrow"/>
        <family val="2"/>
        <charset val="238"/>
      </rPr>
      <t>2232-4 in</t>
    </r>
    <r>
      <rPr>
        <i/>
        <sz val="10"/>
        <color theme="1"/>
        <rFont val="Arial Narrow"/>
        <family val="2"/>
        <charset val="238"/>
      </rPr>
      <t xml:space="preserve"> 2226-1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</si>
  <si>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pritrditev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belo/rdečo/modro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velikost od 0,21 do 0,40 m2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2432-1</t>
    </r>
    <r>
      <rPr>
        <sz val="10"/>
        <color theme="1"/>
        <rFont val="Arial Narrow"/>
        <family val="2"/>
        <charset val="238"/>
      </rPr>
      <t xml:space="preserve"> )
</t>
    </r>
  </si>
  <si>
    <t xml:space="preserve">Dobava in vgraditev cevne varovalne ograje za pešce (CVO) iz jeklenih cevnih profilov z vertikalnimi polnili, visoke do 120 cm, vgradnja na betonski zid, vključno z vsem montažnim materialom
</t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</si>
  <si>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debeloslojne </t>
    </r>
    <r>
      <rPr>
        <sz val="10"/>
        <rFont val="Arial Narrow"/>
        <family val="2"/>
        <charset val="238"/>
      </rPr>
      <t xml:space="preserve">vzdolžne označbe na vozišču z večkomponentno hladno plastiko </t>
    </r>
    <r>
      <rPr>
        <b/>
        <i/>
        <sz val="10"/>
        <rFont val="Arial Narrow"/>
        <family val="2"/>
        <charset val="238"/>
      </rPr>
      <t xml:space="preserve">bele barve </t>
    </r>
    <r>
      <rPr>
        <sz val="10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rFont val="Arial Narrow"/>
        <family val="2"/>
        <charset val="238"/>
      </rPr>
      <t>200 g/m2</t>
    </r>
    <r>
      <rPr>
        <sz val="10"/>
        <rFont val="Arial Narrow"/>
        <family val="2"/>
        <charset val="238"/>
      </rPr>
      <t xml:space="preserve"> dodatnega posipa z drobci stekla, strojno, debelina plasti</t>
    </r>
    <r>
      <rPr>
        <b/>
        <i/>
        <sz val="10"/>
        <rFont val="Arial Narrow"/>
        <family val="2"/>
        <charset val="238"/>
      </rPr>
      <t xml:space="preserve"> 3 mm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 xml:space="preserve">širina črte 50 cm 
</t>
    </r>
    <r>
      <rPr>
        <i/>
        <sz val="10"/>
        <rFont val="Arial Narrow"/>
        <family val="2"/>
        <charset val="238"/>
      </rPr>
      <t xml:space="preserve">( 5211 )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</si>
  <si>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zidov, vtočnih jaškov ter vgrajenih cevnih navezav vtočnih jaškov in drenaćnih cevi</t>
    </r>
    <r>
      <rPr>
        <sz val="10"/>
        <color theme="1"/>
        <rFont val="Arial Narrow"/>
        <family val="2"/>
        <charset val="238"/>
      </rPr>
      <t xml:space="preserve"> )
</t>
    </r>
  </si>
  <si>
    <t/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</si>
  <si>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vzdolžne označbe na vozišču z večkomponentno hladno plastiko </t>
    </r>
    <r>
      <rPr>
        <b/>
        <i/>
        <sz val="10"/>
        <rFont val="Arial Narrow"/>
        <family val="2"/>
        <charset val="238"/>
      </rPr>
      <t xml:space="preserve">bele barve </t>
    </r>
    <r>
      <rPr>
        <sz val="10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rFont val="Arial Narrow"/>
        <family val="2"/>
        <charset val="238"/>
      </rPr>
      <t>200 g/m2</t>
    </r>
    <r>
      <rPr>
        <sz val="10"/>
        <rFont val="Arial Narrow"/>
        <family val="2"/>
        <charset val="238"/>
      </rPr>
      <t xml:space="preserve"> dodatnega posipa z drobci stekla, strojno, debelina plasti</t>
    </r>
    <r>
      <rPr>
        <b/>
        <i/>
        <sz val="10"/>
        <rFont val="Arial Narrow"/>
        <family val="2"/>
        <charset val="238"/>
      </rPr>
      <t xml:space="preserve"> 3 mm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 xml:space="preserve">širina črte 10 cm </t>
    </r>
    <r>
      <rPr>
        <i/>
        <sz val="10"/>
        <rFont val="Arial Narrow"/>
        <family val="2"/>
        <charset val="238"/>
      </rPr>
      <t xml:space="preserve"> 
( 5111 in 5356-1 )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</si>
</sst>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rgb="FF008000"/>
      <name val="Arial Narrow"/>
      <family val="2"/>
      <charset val="238"/>
    </font>
    <font>
      <b/>
      <i/>
      <sz val="10"/>
      <color rgb="FF0000FF"/>
      <name val="Arial Narrow"/>
      <family val="2"/>
      <charset val="238"/>
    </font>
    <font>
      <i/>
      <sz val="12"/>
      <name val="Arial Narrow"/>
      <family val="2"/>
      <charset val="238"/>
    </font>
    <font>
      <b/>
      <sz val="12"/>
      <color rgb="FF0000CC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175">
    <xf numFmtId="0" fontId="0" fillId="0" borderId="0" xfId="0"/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4" fontId="3" fillId="0" borderId="0" xfId="0" applyNumberFormat="1" applyFont="1" applyAlignment="1" applyProtection="1">
      <alignment horizontal="center" vertical="top" wrapText="1"/>
    </xf>
    <xf numFmtId="0" fontId="3" fillId="0" borderId="0" xfId="0" applyFont="1" applyProtection="1"/>
    <xf numFmtId="0" fontId="3" fillId="0" borderId="0" xfId="0" applyFont="1" applyAlignment="1" applyProtection="1">
      <alignment wrapText="1"/>
    </xf>
    <xf numFmtId="0" fontId="4" fillId="3" borderId="1" xfId="1" applyFont="1" applyFill="1" applyAlignment="1" applyProtection="1">
      <alignment horizontal="center" vertical="center" wrapText="1"/>
    </xf>
    <xf numFmtId="4" fontId="4" fillId="3" borderId="1" xfId="1" applyNumberFormat="1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4" fillId="0" borderId="2" xfId="1" applyFont="1" applyFill="1" applyBorder="1" applyAlignment="1" applyProtection="1">
      <alignment horizontal="center" wrapText="1"/>
    </xf>
    <xf numFmtId="0" fontId="4" fillId="0" borderId="2" xfId="1" applyFont="1" applyFill="1" applyBorder="1" applyAlignment="1" applyProtection="1">
      <alignment horizontal="left" wrapText="1"/>
    </xf>
    <xf numFmtId="4" fontId="4" fillId="0" borderId="2" xfId="1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Protection="1"/>
    <xf numFmtId="49" fontId="5" fillId="0" borderId="0" xfId="0" applyNumberFormat="1" applyFont="1" applyAlignment="1" applyProtection="1">
      <alignment horizontal="left" vertical="top" wrapText="1"/>
    </xf>
    <xf numFmtId="4" fontId="6" fillId="0" borderId="0" xfId="0" applyNumberFormat="1" applyFont="1" applyAlignment="1" applyProtection="1">
      <alignment horizontal="center" vertical="top" wrapText="1"/>
    </xf>
    <xf numFmtId="2" fontId="8" fillId="4" borderId="5" xfId="0" applyNumberFormat="1" applyFont="1" applyFill="1" applyBorder="1" applyAlignment="1" applyProtection="1">
      <alignment horizontal="center" wrapText="1"/>
    </xf>
    <xf numFmtId="2" fontId="8" fillId="4" borderId="6" xfId="0" applyNumberFormat="1" applyFont="1" applyFill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vertical="top" wrapText="1"/>
    </xf>
    <xf numFmtId="0" fontId="3" fillId="0" borderId="3" xfId="0" applyFont="1" applyBorder="1" applyAlignment="1" applyProtection="1">
      <alignment horizontal="center" vertical="top" wrapText="1"/>
    </xf>
    <xf numFmtId="0" fontId="3" fillId="0" borderId="3" xfId="0" applyFont="1" applyBorder="1" applyAlignment="1" applyProtection="1">
      <alignment horizontal="left" vertical="top" wrapText="1"/>
    </xf>
    <xf numFmtId="4" fontId="3" fillId="0" borderId="3" xfId="0" applyNumberFormat="1" applyFont="1" applyBorder="1" applyAlignment="1" applyProtection="1">
      <alignment horizontal="center" vertical="top" wrapText="1"/>
    </xf>
    <xf numFmtId="4" fontId="10" fillId="0" borderId="0" xfId="0" applyNumberFormat="1" applyFont="1" applyAlignment="1" applyProtection="1">
      <alignment horizontal="center" vertical="top" wrapText="1"/>
    </xf>
    <xf numFmtId="2" fontId="10" fillId="0" borderId="11" xfId="0" applyNumberFormat="1" applyFont="1" applyBorder="1" applyAlignment="1" applyProtection="1">
      <alignment horizontal="center" wrapText="1"/>
    </xf>
    <xf numFmtId="4" fontId="9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5" fillId="4" borderId="8" xfId="0" applyFont="1" applyFill="1" applyBorder="1" applyAlignment="1" applyProtection="1">
      <alignment horizontal="left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0" fontId="13" fillId="0" borderId="0" xfId="0" applyFont="1" applyFill="1"/>
    <xf numFmtId="0" fontId="14" fillId="0" borderId="0" xfId="0" applyFont="1" applyFill="1"/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/>
    <xf numFmtId="0" fontId="15" fillId="0" borderId="0" xfId="0" applyFont="1" applyFill="1"/>
    <xf numFmtId="0" fontId="16" fillId="0" borderId="0" xfId="0" applyFont="1" applyFill="1"/>
    <xf numFmtId="0" fontId="14" fillId="0" borderId="4" xfId="0" applyFont="1" applyFill="1" applyBorder="1"/>
    <xf numFmtId="0" fontId="14" fillId="0" borderId="5" xfId="0" applyFont="1" applyFill="1" applyBorder="1"/>
    <xf numFmtId="164" fontId="14" fillId="0" borderId="6" xfId="0" applyNumberFormat="1" applyFont="1" applyFill="1" applyBorder="1"/>
    <xf numFmtId="164" fontId="14" fillId="0" borderId="0" xfId="0" applyNumberFormat="1" applyFont="1" applyFill="1"/>
    <xf numFmtId="0" fontId="14" fillId="0" borderId="0" xfId="0" applyFont="1" applyFill="1" applyAlignment="1">
      <alignment horizontal="right"/>
    </xf>
    <xf numFmtId="2" fontId="14" fillId="0" borderId="0" xfId="0" applyNumberFormat="1" applyFont="1" applyFill="1"/>
    <xf numFmtId="0" fontId="16" fillId="0" borderId="4" xfId="0" applyFont="1" applyFill="1" applyBorder="1"/>
    <xf numFmtId="164" fontId="16" fillId="0" borderId="6" xfId="0" applyNumberFormat="1" applyFont="1" applyFill="1" applyBorder="1"/>
    <xf numFmtId="2" fontId="18" fillId="0" borderId="7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3" borderId="1" xfId="1" applyFont="1" applyFill="1" applyAlignment="1">
      <alignment horizontal="center" vertical="center" wrapText="1"/>
    </xf>
    <xf numFmtId="4" fontId="4" fillId="3" borderId="1" xfId="1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left" wrapText="1"/>
    </xf>
    <xf numFmtId="4" fontId="4" fillId="0" borderId="2" xfId="1" applyNumberFormat="1" applyFont="1" applyFill="1" applyBorder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4" fontId="6" fillId="0" borderId="0" xfId="0" applyNumberFormat="1" applyFont="1" applyAlignment="1">
      <alignment horizontal="center" vertical="top" wrapText="1"/>
    </xf>
    <xf numFmtId="2" fontId="8" fillId="4" borderId="5" xfId="0" applyNumberFormat="1" applyFont="1" applyFill="1" applyBorder="1" applyAlignment="1">
      <alignment horizontal="center" wrapText="1"/>
    </xf>
    <xf numFmtId="2" fontId="8" fillId="4" borderId="6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Fill="1"/>
    <xf numFmtId="49" fontId="3" fillId="0" borderId="3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20" fillId="0" borderId="3" xfId="0" applyFont="1" applyBorder="1" applyAlignment="1">
      <alignment horizontal="left" vertical="top" wrapText="1"/>
    </xf>
    <xf numFmtId="4" fontId="21" fillId="0" borderId="0" xfId="0" applyNumberFormat="1" applyFont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5" fillId="4" borderId="8" xfId="0" applyFont="1" applyFill="1" applyBorder="1" applyAlignment="1">
      <alignment horizontal="left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horizontal="center" vertical="top" wrapText="1"/>
    </xf>
    <xf numFmtId="2" fontId="10" fillId="0" borderId="11" xfId="0" applyNumberFormat="1" applyFont="1" applyBorder="1" applyAlignment="1">
      <alignment horizontal="center" wrapText="1"/>
    </xf>
    <xf numFmtId="2" fontId="10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0" xfId="0" applyFont="1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4" fontId="6" fillId="0" borderId="0" xfId="0" applyNumberFormat="1" applyFont="1" applyFill="1" applyAlignment="1">
      <alignment horizontal="center" vertical="top" wrapText="1"/>
    </xf>
    <xf numFmtId="2" fontId="10" fillId="0" borderId="0" xfId="0" applyNumberFormat="1" applyFont="1" applyFill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2" fontId="6" fillId="0" borderId="0" xfId="0" applyNumberFormat="1" applyFont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left" wrapText="1"/>
    </xf>
    <xf numFmtId="2" fontId="8" fillId="0" borderId="0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22" fillId="3" borderId="1" xfId="1" applyNumberFormat="1" applyFont="1" applyFill="1" applyAlignment="1">
      <alignment horizontal="center" vertical="center" wrapText="1"/>
    </xf>
    <xf numFmtId="4" fontId="22" fillId="0" borderId="2" xfId="1" applyNumberFormat="1" applyFont="1" applyFill="1" applyBorder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2" fontId="11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11" fillId="0" borderId="0" xfId="0" applyNumberFormat="1" applyFont="1" applyFill="1" applyAlignment="1">
      <alignment vertical="top"/>
    </xf>
    <xf numFmtId="2" fontId="21" fillId="0" borderId="0" xfId="0" applyNumberFormat="1" applyFont="1" applyAlignment="1">
      <alignment horizontal="center" vertical="top" wrapText="1"/>
    </xf>
    <xf numFmtId="2" fontId="23" fillId="4" borderId="5" xfId="0" applyNumberFormat="1" applyFont="1" applyFill="1" applyBorder="1" applyAlignment="1">
      <alignment horizontal="center" wrapText="1"/>
    </xf>
    <xf numFmtId="2" fontId="11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11" fillId="0" borderId="12" xfId="0" applyNumberFormat="1" applyFont="1" applyFill="1" applyBorder="1" applyAlignment="1">
      <alignment vertical="top"/>
    </xf>
    <xf numFmtId="2" fontId="11" fillId="6" borderId="12" xfId="0" applyNumberFormat="1" applyFont="1" applyFill="1" applyBorder="1" applyAlignment="1">
      <alignment vertical="top"/>
    </xf>
    <xf numFmtId="2" fontId="24" fillId="11" borderId="12" xfId="0" applyNumberFormat="1" applyFont="1" applyFill="1" applyBorder="1" applyAlignment="1">
      <alignment vertical="top"/>
    </xf>
    <xf numFmtId="2" fontId="12" fillId="11" borderId="12" xfId="0" applyNumberFormat="1" applyFont="1" applyFill="1" applyBorder="1" applyAlignment="1">
      <alignment vertical="top"/>
    </xf>
    <xf numFmtId="2" fontId="24" fillId="6" borderId="12" xfId="0" applyNumberFormat="1" applyFont="1" applyFill="1" applyBorder="1" applyAlignment="1">
      <alignment vertical="top"/>
    </xf>
    <xf numFmtId="2" fontId="11" fillId="8" borderId="12" xfId="0" applyNumberFormat="1" applyFont="1" applyFill="1" applyBorder="1" applyAlignment="1">
      <alignment vertical="top"/>
    </xf>
    <xf numFmtId="2" fontId="11" fillId="9" borderId="12" xfId="0" applyNumberFormat="1" applyFont="1" applyFill="1" applyBorder="1" applyAlignment="1">
      <alignment vertical="top"/>
    </xf>
    <xf numFmtId="2" fontId="11" fillId="0" borderId="0" xfId="0" applyNumberFormat="1" applyFont="1" applyBorder="1" applyAlignment="1">
      <alignment vertical="top"/>
    </xf>
    <xf numFmtId="2" fontId="11" fillId="14" borderId="12" xfId="0" applyNumberFormat="1" applyFont="1" applyFill="1" applyBorder="1" applyAlignment="1">
      <alignment vertical="top"/>
    </xf>
    <xf numFmtId="2" fontId="24" fillId="14" borderId="12" xfId="0" applyNumberFormat="1" applyFont="1" applyFill="1" applyBorder="1" applyAlignment="1">
      <alignment vertical="top"/>
    </xf>
    <xf numFmtId="2" fontId="24" fillId="9" borderId="0" xfId="0" applyNumberFormat="1" applyFont="1" applyFill="1" applyAlignment="1">
      <alignment vertical="top"/>
    </xf>
    <xf numFmtId="2" fontId="24" fillId="14" borderId="0" xfId="0" applyNumberFormat="1" applyFont="1" applyFill="1" applyAlignment="1">
      <alignment vertical="top"/>
    </xf>
    <xf numFmtId="2" fontId="11" fillId="11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11" fillId="12" borderId="0" xfId="0" applyNumberFormat="1" applyFont="1" applyFill="1" applyAlignment="1">
      <alignment vertical="top"/>
    </xf>
    <xf numFmtId="2" fontId="11" fillId="6" borderId="0" xfId="0" applyNumberFormat="1" applyFont="1" applyFill="1" applyAlignment="1">
      <alignment vertical="top"/>
    </xf>
    <xf numFmtId="2" fontId="11" fillId="14" borderId="0" xfId="0" applyNumberFormat="1" applyFont="1" applyFill="1" applyAlignment="1">
      <alignment vertical="top"/>
    </xf>
    <xf numFmtId="2" fontId="11" fillId="9" borderId="0" xfId="0" applyNumberFormat="1" applyFont="1" applyFill="1" applyAlignment="1">
      <alignment vertical="top"/>
    </xf>
    <xf numFmtId="2" fontId="11" fillId="5" borderId="0" xfId="0" applyNumberFormat="1" applyFont="1" applyFill="1" applyAlignment="1">
      <alignment vertical="top"/>
    </xf>
    <xf numFmtId="2" fontId="11" fillId="7" borderId="0" xfId="0" applyNumberFormat="1" applyFont="1" applyFill="1" applyAlignment="1">
      <alignment vertical="top"/>
    </xf>
    <xf numFmtId="2" fontId="26" fillId="7" borderId="0" xfId="0" applyNumberFormat="1" applyFont="1" applyFill="1" applyAlignment="1">
      <alignment vertical="top"/>
    </xf>
    <xf numFmtId="2" fontId="26" fillId="6" borderId="0" xfId="0" applyNumberFormat="1" applyFont="1" applyFill="1" applyAlignment="1">
      <alignment vertical="top"/>
    </xf>
    <xf numFmtId="2" fontId="26" fillId="11" borderId="0" xfId="0" applyNumberFormat="1" applyFont="1" applyFill="1" applyAlignment="1">
      <alignment vertical="top"/>
    </xf>
    <xf numFmtId="2" fontId="26" fillId="13" borderId="0" xfId="0" applyNumberFormat="1" applyFont="1" applyFill="1" applyAlignment="1">
      <alignment vertical="top"/>
    </xf>
    <xf numFmtId="2" fontId="25" fillId="11" borderId="0" xfId="0" applyNumberFormat="1" applyFont="1" applyFill="1" applyAlignment="1">
      <alignment vertical="top"/>
    </xf>
    <xf numFmtId="2" fontId="11" fillId="0" borderId="0" xfId="0" applyNumberFormat="1" applyFont="1" applyAlignment="1" applyProtection="1">
      <alignment vertical="top"/>
    </xf>
    <xf numFmtId="2" fontId="12" fillId="3" borderId="0" xfId="0" applyNumberFormat="1" applyFont="1" applyFill="1" applyAlignment="1" applyProtection="1">
      <alignment vertical="center"/>
    </xf>
    <xf numFmtId="2" fontId="11" fillId="0" borderId="0" xfId="0" applyNumberFormat="1" applyFont="1" applyFill="1" applyAlignment="1" applyProtection="1">
      <alignment vertical="top"/>
    </xf>
    <xf numFmtId="2" fontId="11" fillId="7" borderId="0" xfId="0" applyNumberFormat="1" applyFont="1" applyFill="1" applyAlignment="1" applyProtection="1">
      <alignment vertical="top"/>
    </xf>
    <xf numFmtId="2" fontId="25" fillId="5" borderId="0" xfId="0" applyNumberFormat="1" applyFont="1" applyFill="1" applyAlignment="1" applyProtection="1">
      <alignment vertical="top"/>
    </xf>
    <xf numFmtId="2" fontId="24" fillId="6" borderId="0" xfId="0" applyNumberFormat="1" applyFont="1" applyFill="1" applyAlignment="1" applyProtection="1">
      <alignment vertical="top"/>
    </xf>
    <xf numFmtId="2" fontId="24" fillId="11" borderId="0" xfId="0" applyNumberFormat="1" applyFont="1" applyFill="1" applyAlignment="1" applyProtection="1">
      <alignment vertical="top"/>
    </xf>
    <xf numFmtId="2" fontId="12" fillId="11" borderId="0" xfId="0" applyNumberFormat="1" applyFont="1" applyFill="1" applyAlignment="1" applyProtection="1">
      <alignment vertical="top"/>
    </xf>
    <xf numFmtId="2" fontId="11" fillId="11" borderId="0" xfId="0" applyNumberFormat="1" applyFont="1" applyFill="1" applyAlignment="1" applyProtection="1">
      <alignment vertical="top"/>
    </xf>
    <xf numFmtId="2" fontId="10" fillId="0" borderId="0" xfId="0" applyNumberFormat="1" applyFont="1" applyAlignment="1" applyProtection="1">
      <alignment horizontal="center" wrapText="1"/>
    </xf>
    <xf numFmtId="2" fontId="25" fillId="14" borderId="0" xfId="0" applyNumberFormat="1" applyFont="1" applyFill="1" applyAlignment="1" applyProtection="1">
      <alignment vertical="top"/>
    </xf>
    <xf numFmtId="2" fontId="24" fillId="14" borderId="0" xfId="0" applyNumberFormat="1" applyFont="1" applyFill="1" applyAlignment="1" applyProtection="1">
      <alignment vertical="top"/>
    </xf>
    <xf numFmtId="2" fontId="11" fillId="9" borderId="0" xfId="0" applyNumberFormat="1" applyFont="1" applyFill="1" applyAlignment="1" applyProtection="1">
      <alignment vertical="top"/>
    </xf>
    <xf numFmtId="2" fontId="25" fillId="9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4" fontId="20" fillId="0" borderId="3" xfId="0" applyNumberFormat="1" applyFont="1" applyBorder="1" applyAlignment="1" applyProtection="1">
      <alignment horizontal="center" vertical="top" wrapText="1"/>
    </xf>
    <xf numFmtId="2" fontId="24" fillId="9" borderId="0" xfId="0" applyNumberFormat="1" applyFont="1" applyFill="1" applyAlignment="1" applyProtection="1">
      <alignment vertical="top"/>
    </xf>
    <xf numFmtId="2" fontId="3" fillId="0" borderId="0" xfId="0" applyNumberFormat="1" applyFont="1" applyAlignment="1">
      <alignment vertical="top"/>
    </xf>
    <xf numFmtId="2" fontId="9" fillId="3" borderId="0" xfId="0" applyNumberFormat="1" applyFont="1" applyFill="1" applyAlignment="1">
      <alignment vertical="center"/>
    </xf>
    <xf numFmtId="2" fontId="3" fillId="0" borderId="0" xfId="0" applyNumberFormat="1" applyFont="1" applyFill="1" applyAlignment="1">
      <alignment vertical="top"/>
    </xf>
    <xf numFmtId="2" fontId="22" fillId="6" borderId="0" xfId="0" applyNumberFormat="1" applyFont="1" applyFill="1" applyAlignment="1">
      <alignment vertical="top"/>
    </xf>
    <xf numFmtId="49" fontId="5" fillId="0" borderId="0" xfId="0" applyNumberFormat="1" applyFont="1" applyAlignment="1">
      <alignment horizontal="left" vertical="top" wrapText="1"/>
    </xf>
    <xf numFmtId="4" fontId="20" fillId="0" borderId="3" xfId="0" applyNumberFormat="1" applyFont="1" applyFill="1" applyBorder="1" applyAlignment="1" applyProtection="1">
      <alignment horizontal="center" vertical="top" wrapText="1"/>
    </xf>
    <xf numFmtId="4" fontId="20" fillId="0" borderId="3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vertical="top"/>
    </xf>
    <xf numFmtId="0" fontId="1" fillId="0" borderId="4" xfId="0" applyFont="1" applyFill="1" applyBorder="1"/>
    <xf numFmtId="0" fontId="1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28" fillId="0" borderId="0" xfId="0" applyFont="1" applyFill="1" applyAlignment="1">
      <alignment horizontal="left" vertical="top" wrapText="1"/>
    </xf>
    <xf numFmtId="0" fontId="16" fillId="15" borderId="0" xfId="0" applyFont="1" applyFill="1" applyAlignment="1">
      <alignment horizontal="left" vertical="top" wrapText="1"/>
    </xf>
    <xf numFmtId="4" fontId="5" fillId="4" borderId="9" xfId="0" applyNumberFormat="1" applyFont="1" applyFill="1" applyBorder="1" applyAlignment="1" applyProtection="1">
      <alignment horizontal="right" vertical="top" wrapText="1"/>
    </xf>
    <xf numFmtId="4" fontId="5" fillId="4" borderId="10" xfId="0" applyNumberFormat="1" applyFont="1" applyFill="1" applyBorder="1" applyAlignment="1" applyProtection="1">
      <alignment horizontal="right" vertical="top" wrapText="1"/>
    </xf>
    <xf numFmtId="49" fontId="5" fillId="0" borderId="0" xfId="0" applyNumberFormat="1" applyFont="1" applyAlignment="1" applyProtection="1">
      <alignment horizontal="left" vertical="top" wrapText="1"/>
    </xf>
    <xf numFmtId="49" fontId="7" fillId="4" borderId="4" xfId="0" applyNumberFormat="1" applyFont="1" applyFill="1" applyBorder="1" applyAlignment="1" applyProtection="1">
      <alignment horizontal="left" wrapText="1"/>
    </xf>
    <xf numFmtId="49" fontId="7" fillId="4" borderId="5" xfId="0" applyNumberFormat="1" applyFont="1" applyFill="1" applyBorder="1" applyAlignment="1" applyProtection="1">
      <alignment horizontal="left" wrapText="1"/>
    </xf>
    <xf numFmtId="49" fontId="11" fillId="0" borderId="11" xfId="0" applyNumberFormat="1" applyFont="1" applyBorder="1" applyAlignment="1" applyProtection="1">
      <alignment horizontal="left" wrapText="1"/>
    </xf>
    <xf numFmtId="49" fontId="11" fillId="0" borderId="0" xfId="0" applyNumberFormat="1" applyFont="1" applyAlignment="1" applyProtection="1">
      <alignment horizontal="left" wrapText="1"/>
    </xf>
    <xf numFmtId="49" fontId="5" fillId="0" borderId="0" xfId="0" applyNumberFormat="1" applyFont="1" applyAlignment="1">
      <alignment horizontal="left" vertical="top" wrapText="1"/>
    </xf>
    <xf numFmtId="49" fontId="7" fillId="4" borderId="4" xfId="0" applyNumberFormat="1" applyFont="1" applyFill="1" applyBorder="1" applyAlignment="1">
      <alignment horizontal="left" wrapText="1"/>
    </xf>
    <xf numFmtId="49" fontId="7" fillId="4" borderId="5" xfId="0" applyNumberFormat="1" applyFont="1" applyFill="1" applyBorder="1" applyAlignment="1">
      <alignment horizontal="left" wrapText="1"/>
    </xf>
    <xf numFmtId="4" fontId="5" fillId="4" borderId="9" xfId="0" applyNumberFormat="1" applyFont="1" applyFill="1" applyBorder="1" applyAlignment="1">
      <alignment horizontal="right" vertical="top" wrapText="1"/>
    </xf>
    <xf numFmtId="4" fontId="5" fillId="4" borderId="10" xfId="0" applyNumberFormat="1" applyFont="1" applyFill="1" applyBorder="1" applyAlignment="1">
      <alignment horizontal="right" vertical="top" wrapText="1"/>
    </xf>
    <xf numFmtId="49" fontId="11" fillId="0" borderId="0" xfId="0" applyNumberFormat="1" applyFont="1" applyFill="1" applyAlignment="1">
      <alignment horizontal="left" wrapText="1"/>
    </xf>
    <xf numFmtId="49" fontId="11" fillId="0" borderId="11" xfId="0" applyNumberFormat="1" applyFont="1" applyBorder="1" applyAlignment="1">
      <alignment horizontal="left" wrapText="1"/>
    </xf>
    <xf numFmtId="49" fontId="11" fillId="0" borderId="0" xfId="0" applyNumberFormat="1" applyFont="1" applyAlignment="1">
      <alignment horizontal="left" wrapText="1"/>
    </xf>
    <xf numFmtId="49" fontId="16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colors>
    <mruColors>
      <color rgb="FF0000CC"/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2" connectionId="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30" customWidth="1"/>
    <col min="2" max="2" width="10.42578125" style="30" customWidth="1"/>
    <col min="3" max="4" width="9.140625" style="30"/>
    <col min="5" max="5" width="8.28515625" style="30" customWidth="1"/>
    <col min="6" max="6" width="9.5703125" style="30" customWidth="1"/>
    <col min="7" max="7" width="3.28515625" style="30" customWidth="1"/>
    <col min="8" max="8" width="19.85546875" style="30" customWidth="1"/>
    <col min="9" max="9" width="7.28515625" style="30" customWidth="1"/>
    <col min="10" max="10" width="12.7109375" style="30" customWidth="1"/>
    <col min="11" max="262" width="9.140625" style="30"/>
    <col min="263" max="263" width="7.42578125" style="30" customWidth="1"/>
    <col min="264" max="264" width="20.42578125" style="30" customWidth="1"/>
    <col min="265" max="265" width="17.140625" style="30" customWidth="1"/>
    <col min="266" max="266" width="12.7109375" style="30" customWidth="1"/>
    <col min="267" max="518" width="9.140625" style="30"/>
    <col min="519" max="519" width="7.42578125" style="30" customWidth="1"/>
    <col min="520" max="520" width="20.42578125" style="30" customWidth="1"/>
    <col min="521" max="521" width="17.140625" style="30" customWidth="1"/>
    <col min="522" max="522" width="12.7109375" style="30" customWidth="1"/>
    <col min="523" max="774" width="9.140625" style="30"/>
    <col min="775" max="775" width="7.42578125" style="30" customWidth="1"/>
    <col min="776" max="776" width="20.42578125" style="30" customWidth="1"/>
    <col min="777" max="777" width="17.140625" style="30" customWidth="1"/>
    <col min="778" max="778" width="12.7109375" style="30" customWidth="1"/>
    <col min="779" max="1030" width="9.140625" style="30"/>
    <col min="1031" max="1031" width="7.42578125" style="30" customWidth="1"/>
    <col min="1032" max="1032" width="20.42578125" style="30" customWidth="1"/>
    <col min="1033" max="1033" width="17.140625" style="30" customWidth="1"/>
    <col min="1034" max="1034" width="12.7109375" style="30" customWidth="1"/>
    <col min="1035" max="1286" width="9.140625" style="30"/>
    <col min="1287" max="1287" width="7.42578125" style="30" customWidth="1"/>
    <col min="1288" max="1288" width="20.42578125" style="30" customWidth="1"/>
    <col min="1289" max="1289" width="17.140625" style="30" customWidth="1"/>
    <col min="1290" max="1290" width="12.7109375" style="30" customWidth="1"/>
    <col min="1291" max="1542" width="9.140625" style="30"/>
    <col min="1543" max="1543" width="7.42578125" style="30" customWidth="1"/>
    <col min="1544" max="1544" width="20.42578125" style="30" customWidth="1"/>
    <col min="1545" max="1545" width="17.140625" style="30" customWidth="1"/>
    <col min="1546" max="1546" width="12.7109375" style="30" customWidth="1"/>
    <col min="1547" max="1798" width="9.140625" style="30"/>
    <col min="1799" max="1799" width="7.42578125" style="30" customWidth="1"/>
    <col min="1800" max="1800" width="20.42578125" style="30" customWidth="1"/>
    <col min="1801" max="1801" width="17.140625" style="30" customWidth="1"/>
    <col min="1802" max="1802" width="12.7109375" style="30" customWidth="1"/>
    <col min="1803" max="2054" width="9.140625" style="30"/>
    <col min="2055" max="2055" width="7.42578125" style="30" customWidth="1"/>
    <col min="2056" max="2056" width="20.42578125" style="30" customWidth="1"/>
    <col min="2057" max="2057" width="17.140625" style="30" customWidth="1"/>
    <col min="2058" max="2058" width="12.7109375" style="30" customWidth="1"/>
    <col min="2059" max="2310" width="9.140625" style="30"/>
    <col min="2311" max="2311" width="7.42578125" style="30" customWidth="1"/>
    <col min="2312" max="2312" width="20.42578125" style="30" customWidth="1"/>
    <col min="2313" max="2313" width="17.140625" style="30" customWidth="1"/>
    <col min="2314" max="2314" width="12.7109375" style="30" customWidth="1"/>
    <col min="2315" max="2566" width="9.140625" style="30"/>
    <col min="2567" max="2567" width="7.42578125" style="30" customWidth="1"/>
    <col min="2568" max="2568" width="20.42578125" style="30" customWidth="1"/>
    <col min="2569" max="2569" width="17.140625" style="30" customWidth="1"/>
    <col min="2570" max="2570" width="12.7109375" style="30" customWidth="1"/>
    <col min="2571" max="2822" width="9.140625" style="30"/>
    <col min="2823" max="2823" width="7.42578125" style="30" customWidth="1"/>
    <col min="2824" max="2824" width="20.42578125" style="30" customWidth="1"/>
    <col min="2825" max="2825" width="17.140625" style="30" customWidth="1"/>
    <col min="2826" max="2826" width="12.7109375" style="30" customWidth="1"/>
    <col min="2827" max="3078" width="9.140625" style="30"/>
    <col min="3079" max="3079" width="7.42578125" style="30" customWidth="1"/>
    <col min="3080" max="3080" width="20.42578125" style="30" customWidth="1"/>
    <col min="3081" max="3081" width="17.140625" style="30" customWidth="1"/>
    <col min="3082" max="3082" width="12.7109375" style="30" customWidth="1"/>
    <col min="3083" max="3334" width="9.140625" style="30"/>
    <col min="3335" max="3335" width="7.42578125" style="30" customWidth="1"/>
    <col min="3336" max="3336" width="20.42578125" style="30" customWidth="1"/>
    <col min="3337" max="3337" width="17.140625" style="30" customWidth="1"/>
    <col min="3338" max="3338" width="12.7109375" style="30" customWidth="1"/>
    <col min="3339" max="3590" width="9.140625" style="30"/>
    <col min="3591" max="3591" width="7.42578125" style="30" customWidth="1"/>
    <col min="3592" max="3592" width="20.42578125" style="30" customWidth="1"/>
    <col min="3593" max="3593" width="17.140625" style="30" customWidth="1"/>
    <col min="3594" max="3594" width="12.7109375" style="30" customWidth="1"/>
    <col min="3595" max="3846" width="9.140625" style="30"/>
    <col min="3847" max="3847" width="7.42578125" style="30" customWidth="1"/>
    <col min="3848" max="3848" width="20.42578125" style="30" customWidth="1"/>
    <col min="3849" max="3849" width="17.140625" style="30" customWidth="1"/>
    <col min="3850" max="3850" width="12.7109375" style="30" customWidth="1"/>
    <col min="3851" max="4102" width="9.140625" style="30"/>
    <col min="4103" max="4103" width="7.42578125" style="30" customWidth="1"/>
    <col min="4104" max="4104" width="20.42578125" style="30" customWidth="1"/>
    <col min="4105" max="4105" width="17.140625" style="30" customWidth="1"/>
    <col min="4106" max="4106" width="12.7109375" style="30" customWidth="1"/>
    <col min="4107" max="4358" width="9.140625" style="30"/>
    <col min="4359" max="4359" width="7.42578125" style="30" customWidth="1"/>
    <col min="4360" max="4360" width="20.42578125" style="30" customWidth="1"/>
    <col min="4361" max="4361" width="17.140625" style="30" customWidth="1"/>
    <col min="4362" max="4362" width="12.7109375" style="30" customWidth="1"/>
    <col min="4363" max="4614" width="9.140625" style="30"/>
    <col min="4615" max="4615" width="7.42578125" style="30" customWidth="1"/>
    <col min="4616" max="4616" width="20.42578125" style="30" customWidth="1"/>
    <col min="4617" max="4617" width="17.140625" style="30" customWidth="1"/>
    <col min="4618" max="4618" width="12.7109375" style="30" customWidth="1"/>
    <col min="4619" max="4870" width="9.140625" style="30"/>
    <col min="4871" max="4871" width="7.42578125" style="30" customWidth="1"/>
    <col min="4872" max="4872" width="20.42578125" style="30" customWidth="1"/>
    <col min="4873" max="4873" width="17.140625" style="30" customWidth="1"/>
    <col min="4874" max="4874" width="12.7109375" style="30" customWidth="1"/>
    <col min="4875" max="5126" width="9.140625" style="30"/>
    <col min="5127" max="5127" width="7.42578125" style="30" customWidth="1"/>
    <col min="5128" max="5128" width="20.42578125" style="30" customWidth="1"/>
    <col min="5129" max="5129" width="17.140625" style="30" customWidth="1"/>
    <col min="5130" max="5130" width="12.7109375" style="30" customWidth="1"/>
    <col min="5131" max="5382" width="9.140625" style="30"/>
    <col min="5383" max="5383" width="7.42578125" style="30" customWidth="1"/>
    <col min="5384" max="5384" width="20.42578125" style="30" customWidth="1"/>
    <col min="5385" max="5385" width="17.140625" style="30" customWidth="1"/>
    <col min="5386" max="5386" width="12.7109375" style="30" customWidth="1"/>
    <col min="5387" max="5638" width="9.140625" style="30"/>
    <col min="5639" max="5639" width="7.42578125" style="30" customWidth="1"/>
    <col min="5640" max="5640" width="20.42578125" style="30" customWidth="1"/>
    <col min="5641" max="5641" width="17.140625" style="30" customWidth="1"/>
    <col min="5642" max="5642" width="12.7109375" style="30" customWidth="1"/>
    <col min="5643" max="5894" width="9.140625" style="30"/>
    <col min="5895" max="5895" width="7.42578125" style="30" customWidth="1"/>
    <col min="5896" max="5896" width="20.42578125" style="30" customWidth="1"/>
    <col min="5897" max="5897" width="17.140625" style="30" customWidth="1"/>
    <col min="5898" max="5898" width="12.7109375" style="30" customWidth="1"/>
    <col min="5899" max="6150" width="9.140625" style="30"/>
    <col min="6151" max="6151" width="7.42578125" style="30" customWidth="1"/>
    <col min="6152" max="6152" width="20.42578125" style="30" customWidth="1"/>
    <col min="6153" max="6153" width="17.140625" style="30" customWidth="1"/>
    <col min="6154" max="6154" width="12.7109375" style="30" customWidth="1"/>
    <col min="6155" max="6406" width="9.140625" style="30"/>
    <col min="6407" max="6407" width="7.42578125" style="30" customWidth="1"/>
    <col min="6408" max="6408" width="20.42578125" style="30" customWidth="1"/>
    <col min="6409" max="6409" width="17.140625" style="30" customWidth="1"/>
    <col min="6410" max="6410" width="12.7109375" style="30" customWidth="1"/>
    <col min="6411" max="6662" width="9.140625" style="30"/>
    <col min="6663" max="6663" width="7.42578125" style="30" customWidth="1"/>
    <col min="6664" max="6664" width="20.42578125" style="30" customWidth="1"/>
    <col min="6665" max="6665" width="17.140625" style="30" customWidth="1"/>
    <col min="6666" max="6666" width="12.7109375" style="30" customWidth="1"/>
    <col min="6667" max="6918" width="9.140625" style="30"/>
    <col min="6919" max="6919" width="7.42578125" style="30" customWidth="1"/>
    <col min="6920" max="6920" width="20.42578125" style="30" customWidth="1"/>
    <col min="6921" max="6921" width="17.140625" style="30" customWidth="1"/>
    <col min="6922" max="6922" width="12.7109375" style="30" customWidth="1"/>
    <col min="6923" max="7174" width="9.140625" style="30"/>
    <col min="7175" max="7175" width="7.42578125" style="30" customWidth="1"/>
    <col min="7176" max="7176" width="20.42578125" style="30" customWidth="1"/>
    <col min="7177" max="7177" width="17.140625" style="30" customWidth="1"/>
    <col min="7178" max="7178" width="12.7109375" style="30" customWidth="1"/>
    <col min="7179" max="7430" width="9.140625" style="30"/>
    <col min="7431" max="7431" width="7.42578125" style="30" customWidth="1"/>
    <col min="7432" max="7432" width="20.42578125" style="30" customWidth="1"/>
    <col min="7433" max="7433" width="17.140625" style="30" customWidth="1"/>
    <col min="7434" max="7434" width="12.7109375" style="30" customWidth="1"/>
    <col min="7435" max="7686" width="9.140625" style="30"/>
    <col min="7687" max="7687" width="7.42578125" style="30" customWidth="1"/>
    <col min="7688" max="7688" width="20.42578125" style="30" customWidth="1"/>
    <col min="7689" max="7689" width="17.140625" style="30" customWidth="1"/>
    <col min="7690" max="7690" width="12.7109375" style="30" customWidth="1"/>
    <col min="7691" max="7942" width="9.140625" style="30"/>
    <col min="7943" max="7943" width="7.42578125" style="30" customWidth="1"/>
    <col min="7944" max="7944" width="20.42578125" style="30" customWidth="1"/>
    <col min="7945" max="7945" width="17.140625" style="30" customWidth="1"/>
    <col min="7946" max="7946" width="12.7109375" style="30" customWidth="1"/>
    <col min="7947" max="8198" width="9.140625" style="30"/>
    <col min="8199" max="8199" width="7.42578125" style="30" customWidth="1"/>
    <col min="8200" max="8200" width="20.42578125" style="30" customWidth="1"/>
    <col min="8201" max="8201" width="17.140625" style="30" customWidth="1"/>
    <col min="8202" max="8202" width="12.7109375" style="30" customWidth="1"/>
    <col min="8203" max="8454" width="9.140625" style="30"/>
    <col min="8455" max="8455" width="7.42578125" style="30" customWidth="1"/>
    <col min="8456" max="8456" width="20.42578125" style="30" customWidth="1"/>
    <col min="8457" max="8457" width="17.140625" style="30" customWidth="1"/>
    <col min="8458" max="8458" width="12.7109375" style="30" customWidth="1"/>
    <col min="8459" max="8710" width="9.140625" style="30"/>
    <col min="8711" max="8711" width="7.42578125" style="30" customWidth="1"/>
    <col min="8712" max="8712" width="20.42578125" style="30" customWidth="1"/>
    <col min="8713" max="8713" width="17.140625" style="30" customWidth="1"/>
    <col min="8714" max="8714" width="12.7109375" style="30" customWidth="1"/>
    <col min="8715" max="8966" width="9.140625" style="30"/>
    <col min="8967" max="8967" width="7.42578125" style="30" customWidth="1"/>
    <col min="8968" max="8968" width="20.42578125" style="30" customWidth="1"/>
    <col min="8969" max="8969" width="17.140625" style="30" customWidth="1"/>
    <col min="8970" max="8970" width="12.7109375" style="30" customWidth="1"/>
    <col min="8971" max="9222" width="9.140625" style="30"/>
    <col min="9223" max="9223" width="7.42578125" style="30" customWidth="1"/>
    <col min="9224" max="9224" width="20.42578125" style="30" customWidth="1"/>
    <col min="9225" max="9225" width="17.140625" style="30" customWidth="1"/>
    <col min="9226" max="9226" width="12.7109375" style="30" customWidth="1"/>
    <col min="9227" max="9478" width="9.140625" style="30"/>
    <col min="9479" max="9479" width="7.42578125" style="30" customWidth="1"/>
    <col min="9480" max="9480" width="20.42578125" style="30" customWidth="1"/>
    <col min="9481" max="9481" width="17.140625" style="30" customWidth="1"/>
    <col min="9482" max="9482" width="12.7109375" style="30" customWidth="1"/>
    <col min="9483" max="9734" width="9.140625" style="30"/>
    <col min="9735" max="9735" width="7.42578125" style="30" customWidth="1"/>
    <col min="9736" max="9736" width="20.42578125" style="30" customWidth="1"/>
    <col min="9737" max="9737" width="17.140625" style="30" customWidth="1"/>
    <col min="9738" max="9738" width="12.7109375" style="30" customWidth="1"/>
    <col min="9739" max="9990" width="9.140625" style="30"/>
    <col min="9991" max="9991" width="7.42578125" style="30" customWidth="1"/>
    <col min="9992" max="9992" width="20.42578125" style="30" customWidth="1"/>
    <col min="9993" max="9993" width="17.140625" style="30" customWidth="1"/>
    <col min="9994" max="9994" width="12.7109375" style="30" customWidth="1"/>
    <col min="9995" max="10246" width="9.140625" style="30"/>
    <col min="10247" max="10247" width="7.42578125" style="30" customWidth="1"/>
    <col min="10248" max="10248" width="20.42578125" style="30" customWidth="1"/>
    <col min="10249" max="10249" width="17.140625" style="30" customWidth="1"/>
    <col min="10250" max="10250" width="12.7109375" style="30" customWidth="1"/>
    <col min="10251" max="10502" width="9.140625" style="30"/>
    <col min="10503" max="10503" width="7.42578125" style="30" customWidth="1"/>
    <col min="10504" max="10504" width="20.42578125" style="30" customWidth="1"/>
    <col min="10505" max="10505" width="17.140625" style="30" customWidth="1"/>
    <col min="10506" max="10506" width="12.7109375" style="30" customWidth="1"/>
    <col min="10507" max="10758" width="9.140625" style="30"/>
    <col min="10759" max="10759" width="7.42578125" style="30" customWidth="1"/>
    <col min="10760" max="10760" width="20.42578125" style="30" customWidth="1"/>
    <col min="10761" max="10761" width="17.140625" style="30" customWidth="1"/>
    <col min="10762" max="10762" width="12.7109375" style="30" customWidth="1"/>
    <col min="10763" max="11014" width="9.140625" style="30"/>
    <col min="11015" max="11015" width="7.42578125" style="30" customWidth="1"/>
    <col min="11016" max="11016" width="20.42578125" style="30" customWidth="1"/>
    <col min="11017" max="11017" width="17.140625" style="30" customWidth="1"/>
    <col min="11018" max="11018" width="12.7109375" style="30" customWidth="1"/>
    <col min="11019" max="11270" width="9.140625" style="30"/>
    <col min="11271" max="11271" width="7.42578125" style="30" customWidth="1"/>
    <col min="11272" max="11272" width="20.42578125" style="30" customWidth="1"/>
    <col min="11273" max="11273" width="17.140625" style="30" customWidth="1"/>
    <col min="11274" max="11274" width="12.7109375" style="30" customWidth="1"/>
    <col min="11275" max="11526" width="9.140625" style="30"/>
    <col min="11527" max="11527" width="7.42578125" style="30" customWidth="1"/>
    <col min="11528" max="11528" width="20.42578125" style="30" customWidth="1"/>
    <col min="11529" max="11529" width="17.140625" style="30" customWidth="1"/>
    <col min="11530" max="11530" width="12.7109375" style="30" customWidth="1"/>
    <col min="11531" max="11782" width="9.140625" style="30"/>
    <col min="11783" max="11783" width="7.42578125" style="30" customWidth="1"/>
    <col min="11784" max="11784" width="20.42578125" style="30" customWidth="1"/>
    <col min="11785" max="11785" width="17.140625" style="30" customWidth="1"/>
    <col min="11786" max="11786" width="12.7109375" style="30" customWidth="1"/>
    <col min="11787" max="12038" width="9.140625" style="30"/>
    <col min="12039" max="12039" width="7.42578125" style="30" customWidth="1"/>
    <col min="12040" max="12040" width="20.42578125" style="30" customWidth="1"/>
    <col min="12041" max="12041" width="17.140625" style="30" customWidth="1"/>
    <col min="12042" max="12042" width="12.7109375" style="30" customWidth="1"/>
    <col min="12043" max="12294" width="9.140625" style="30"/>
    <col min="12295" max="12295" width="7.42578125" style="30" customWidth="1"/>
    <col min="12296" max="12296" width="20.42578125" style="30" customWidth="1"/>
    <col min="12297" max="12297" width="17.140625" style="30" customWidth="1"/>
    <col min="12298" max="12298" width="12.7109375" style="30" customWidth="1"/>
    <col min="12299" max="12550" width="9.140625" style="30"/>
    <col min="12551" max="12551" width="7.42578125" style="30" customWidth="1"/>
    <col min="12552" max="12552" width="20.42578125" style="30" customWidth="1"/>
    <col min="12553" max="12553" width="17.140625" style="30" customWidth="1"/>
    <col min="12554" max="12554" width="12.7109375" style="30" customWidth="1"/>
    <col min="12555" max="12806" width="9.140625" style="30"/>
    <col min="12807" max="12807" width="7.42578125" style="30" customWidth="1"/>
    <col min="12808" max="12808" width="20.42578125" style="30" customWidth="1"/>
    <col min="12809" max="12809" width="17.140625" style="30" customWidth="1"/>
    <col min="12810" max="12810" width="12.7109375" style="30" customWidth="1"/>
    <col min="12811" max="13062" width="9.140625" style="30"/>
    <col min="13063" max="13063" width="7.42578125" style="30" customWidth="1"/>
    <col min="13064" max="13064" width="20.42578125" style="30" customWidth="1"/>
    <col min="13065" max="13065" width="17.140625" style="30" customWidth="1"/>
    <col min="13066" max="13066" width="12.7109375" style="30" customWidth="1"/>
    <col min="13067" max="13318" width="9.140625" style="30"/>
    <col min="13319" max="13319" width="7.42578125" style="30" customWidth="1"/>
    <col min="13320" max="13320" width="20.42578125" style="30" customWidth="1"/>
    <col min="13321" max="13321" width="17.140625" style="30" customWidth="1"/>
    <col min="13322" max="13322" width="12.7109375" style="30" customWidth="1"/>
    <col min="13323" max="13574" width="9.140625" style="30"/>
    <col min="13575" max="13575" width="7.42578125" style="30" customWidth="1"/>
    <col min="13576" max="13576" width="20.42578125" style="30" customWidth="1"/>
    <col min="13577" max="13577" width="17.140625" style="30" customWidth="1"/>
    <col min="13578" max="13578" width="12.7109375" style="30" customWidth="1"/>
    <col min="13579" max="13830" width="9.140625" style="30"/>
    <col min="13831" max="13831" width="7.42578125" style="30" customWidth="1"/>
    <col min="13832" max="13832" width="20.42578125" style="30" customWidth="1"/>
    <col min="13833" max="13833" width="17.140625" style="30" customWidth="1"/>
    <col min="13834" max="13834" width="12.7109375" style="30" customWidth="1"/>
    <col min="13835" max="14086" width="9.140625" style="30"/>
    <col min="14087" max="14087" width="7.42578125" style="30" customWidth="1"/>
    <col min="14088" max="14088" width="20.42578125" style="30" customWidth="1"/>
    <col min="14089" max="14089" width="17.140625" style="30" customWidth="1"/>
    <col min="14090" max="14090" width="12.7109375" style="30" customWidth="1"/>
    <col min="14091" max="14342" width="9.140625" style="30"/>
    <col min="14343" max="14343" width="7.42578125" style="30" customWidth="1"/>
    <col min="14344" max="14344" width="20.42578125" style="30" customWidth="1"/>
    <col min="14345" max="14345" width="17.140625" style="30" customWidth="1"/>
    <col min="14346" max="14346" width="12.7109375" style="30" customWidth="1"/>
    <col min="14347" max="14598" width="9.140625" style="30"/>
    <col min="14599" max="14599" width="7.42578125" style="30" customWidth="1"/>
    <col min="14600" max="14600" width="20.42578125" style="30" customWidth="1"/>
    <col min="14601" max="14601" width="17.140625" style="30" customWidth="1"/>
    <col min="14602" max="14602" width="12.7109375" style="30" customWidth="1"/>
    <col min="14603" max="14854" width="9.140625" style="30"/>
    <col min="14855" max="14855" width="7.42578125" style="30" customWidth="1"/>
    <col min="14856" max="14856" width="20.42578125" style="30" customWidth="1"/>
    <col min="14857" max="14857" width="17.140625" style="30" customWidth="1"/>
    <col min="14858" max="14858" width="12.7109375" style="30" customWidth="1"/>
    <col min="14859" max="15110" width="9.140625" style="30"/>
    <col min="15111" max="15111" width="7.42578125" style="30" customWidth="1"/>
    <col min="15112" max="15112" width="20.42578125" style="30" customWidth="1"/>
    <col min="15113" max="15113" width="17.140625" style="30" customWidth="1"/>
    <col min="15114" max="15114" width="12.7109375" style="30" customWidth="1"/>
    <col min="15115" max="15366" width="9.140625" style="30"/>
    <col min="15367" max="15367" width="7.42578125" style="30" customWidth="1"/>
    <col min="15368" max="15368" width="20.42578125" style="30" customWidth="1"/>
    <col min="15369" max="15369" width="17.140625" style="30" customWidth="1"/>
    <col min="15370" max="15370" width="12.7109375" style="30" customWidth="1"/>
    <col min="15371" max="15622" width="9.140625" style="30"/>
    <col min="15623" max="15623" width="7.42578125" style="30" customWidth="1"/>
    <col min="15624" max="15624" width="20.42578125" style="30" customWidth="1"/>
    <col min="15625" max="15625" width="17.140625" style="30" customWidth="1"/>
    <col min="15626" max="15626" width="12.7109375" style="30" customWidth="1"/>
    <col min="15627" max="15878" width="9.140625" style="30"/>
    <col min="15879" max="15879" width="7.42578125" style="30" customWidth="1"/>
    <col min="15880" max="15880" width="20.42578125" style="30" customWidth="1"/>
    <col min="15881" max="15881" width="17.140625" style="30" customWidth="1"/>
    <col min="15882" max="15882" width="12.7109375" style="30" customWidth="1"/>
    <col min="15883" max="16134" width="9.140625" style="30"/>
    <col min="16135" max="16135" width="7.42578125" style="30" customWidth="1"/>
    <col min="16136" max="16136" width="20.42578125" style="30" customWidth="1"/>
    <col min="16137" max="16137" width="17.140625" style="30" customWidth="1"/>
    <col min="16138" max="16138" width="12.7109375" style="30" customWidth="1"/>
    <col min="16139" max="16384" width="9.140625" style="30"/>
  </cols>
  <sheetData>
    <row r="4" spans="3:9" x14ac:dyDescent="0.3">
      <c r="C4" s="29" t="s">
        <v>216</v>
      </c>
      <c r="E4" s="156" t="s">
        <v>264</v>
      </c>
      <c r="F4" s="156"/>
      <c r="G4" s="156"/>
      <c r="H4" s="156"/>
    </row>
    <row r="6" spans="3:9" ht="51.75" customHeight="1" x14ac:dyDescent="0.3">
      <c r="C6" s="31" t="s">
        <v>213</v>
      </c>
      <c r="D6" s="32"/>
      <c r="E6" s="157" t="s">
        <v>265</v>
      </c>
      <c r="F6" s="157"/>
      <c r="G6" s="157"/>
      <c r="H6" s="157"/>
      <c r="I6" s="32"/>
    </row>
    <row r="7" spans="3:9" x14ac:dyDescent="0.3">
      <c r="D7" s="33"/>
      <c r="E7" s="33"/>
      <c r="F7" s="33"/>
      <c r="G7" s="33"/>
      <c r="H7" s="33"/>
      <c r="I7" s="33"/>
    </row>
    <row r="8" spans="3:9" ht="34.5" customHeight="1" x14ac:dyDescent="0.3">
      <c r="C8" s="153" t="s">
        <v>214</v>
      </c>
      <c r="E8" s="158" t="s">
        <v>321</v>
      </c>
      <c r="F8" s="158"/>
      <c r="G8" s="158"/>
      <c r="H8" s="158"/>
    </row>
    <row r="9" spans="3:9" ht="17.25" x14ac:dyDescent="0.3">
      <c r="E9" s="34"/>
    </row>
    <row r="11" spans="3:9" x14ac:dyDescent="0.3">
      <c r="C11" s="35" t="s">
        <v>41</v>
      </c>
    </row>
    <row r="14" spans="3:9" x14ac:dyDescent="0.3">
      <c r="C14" s="36" t="s">
        <v>195</v>
      </c>
      <c r="D14" s="37"/>
      <c r="E14" s="37"/>
      <c r="F14" s="37"/>
      <c r="G14" s="37"/>
      <c r="H14" s="38" t="str">
        <f>'1. PREDDELA'!F46</f>
        <v/>
      </c>
    </row>
    <row r="15" spans="3:9" x14ac:dyDescent="0.3">
      <c r="H15" s="39"/>
    </row>
    <row r="16" spans="3:9" x14ac:dyDescent="0.3">
      <c r="C16" s="36" t="s">
        <v>196</v>
      </c>
      <c r="D16" s="37"/>
      <c r="E16" s="37"/>
      <c r="F16" s="37"/>
      <c r="G16" s="37"/>
      <c r="H16" s="38" t="str">
        <f>'2. ZEMELJSKA DELA'!F41</f>
        <v/>
      </c>
    </row>
    <row r="17" spans="3:8" x14ac:dyDescent="0.3">
      <c r="H17" s="39"/>
    </row>
    <row r="18" spans="3:8" x14ac:dyDescent="0.3">
      <c r="C18" s="36" t="s">
        <v>197</v>
      </c>
      <c r="D18" s="37"/>
      <c r="E18" s="37"/>
      <c r="F18" s="37"/>
      <c r="G18" s="37"/>
      <c r="H18" s="38" t="str">
        <f>'3. VOZIŠČNE KONSTRUKCIJE'!F43</f>
        <v/>
      </c>
    </row>
    <row r="19" spans="3:8" x14ac:dyDescent="0.3">
      <c r="H19" s="39"/>
    </row>
    <row r="20" spans="3:8" x14ac:dyDescent="0.3">
      <c r="C20" s="36" t="s">
        <v>198</v>
      </c>
      <c r="D20" s="37"/>
      <c r="E20" s="37"/>
      <c r="F20" s="37"/>
      <c r="G20" s="37"/>
      <c r="H20" s="38" t="str">
        <f>'4. ODVODNJAVANJE'!F35</f>
        <v/>
      </c>
    </row>
    <row r="21" spans="3:8" x14ac:dyDescent="0.3">
      <c r="H21" s="39"/>
    </row>
    <row r="22" spans="3:8" x14ac:dyDescent="0.3">
      <c r="C22" s="36" t="s">
        <v>199</v>
      </c>
      <c r="D22" s="37"/>
      <c r="E22" s="37"/>
      <c r="F22" s="37"/>
      <c r="G22" s="37"/>
      <c r="H22" s="38" t="str">
        <f>'5. GRADBENA IN OBRTNIŠKA DELA'!F44</f>
        <v/>
      </c>
    </row>
    <row r="23" spans="3:8" x14ac:dyDescent="0.3">
      <c r="H23" s="39"/>
    </row>
    <row r="24" spans="3:8" x14ac:dyDescent="0.3">
      <c r="C24" s="36" t="s">
        <v>200</v>
      </c>
      <c r="D24" s="37"/>
      <c r="E24" s="37"/>
      <c r="F24" s="37"/>
      <c r="G24" s="37"/>
      <c r="H24" s="38" t="str">
        <f>'6. OPREMA CEST'!F32</f>
        <v/>
      </c>
    </row>
    <row r="25" spans="3:8" x14ac:dyDescent="0.3">
      <c r="H25" s="39"/>
    </row>
    <row r="26" spans="3:8" x14ac:dyDescent="0.3">
      <c r="C26" s="36" t="s">
        <v>201</v>
      </c>
      <c r="D26" s="37"/>
      <c r="E26" s="37"/>
      <c r="F26" s="37"/>
      <c r="G26" s="37"/>
      <c r="H26" s="38" t="str">
        <f>'7. TUJE STORITVE'!F31</f>
        <v/>
      </c>
    </row>
    <row r="27" spans="3:8" x14ac:dyDescent="0.3">
      <c r="H27" s="39"/>
    </row>
    <row r="28" spans="3:8" x14ac:dyDescent="0.3">
      <c r="C28" s="154" t="s">
        <v>310</v>
      </c>
      <c r="D28" s="37"/>
      <c r="E28" s="37"/>
      <c r="F28" s="37"/>
      <c r="G28" s="37"/>
      <c r="H28" s="38" t="str">
        <f>IF(SUM(H14:H26)=0,"",SUM(H14:H26)*0.1)</f>
        <v/>
      </c>
    </row>
    <row r="31" spans="3:8" x14ac:dyDescent="0.3">
      <c r="F31" s="40" t="s">
        <v>42</v>
      </c>
      <c r="H31" s="39" t="str">
        <f>IF(SUM(H14:H28)=0,"",SUM(H14:H28))</f>
        <v/>
      </c>
    </row>
    <row r="32" spans="3:8" x14ac:dyDescent="0.3">
      <c r="F32" s="40"/>
      <c r="H32" s="39"/>
    </row>
    <row r="33" spans="2:8" x14ac:dyDescent="0.3">
      <c r="F33" s="40" t="s">
        <v>208</v>
      </c>
      <c r="H33" s="39" t="str">
        <f>IF(SUM(H31)=0,"",SUM(0.22*H31))</f>
        <v/>
      </c>
    </row>
    <row r="34" spans="2:8" x14ac:dyDescent="0.3">
      <c r="H34" s="39"/>
    </row>
    <row r="35" spans="2:8" x14ac:dyDescent="0.3">
      <c r="H35" s="41"/>
    </row>
    <row r="36" spans="2:8" x14ac:dyDescent="0.3">
      <c r="C36" s="42" t="s">
        <v>43</v>
      </c>
      <c r="D36" s="37"/>
      <c r="E36" s="37"/>
      <c r="F36" s="37"/>
      <c r="G36" s="37"/>
      <c r="H36" s="43" t="str">
        <f>IF(SUM(H31:H33)=0,"",SUM(H31:H33))</f>
        <v/>
      </c>
    </row>
    <row r="41" spans="2:8" ht="17.25" hidden="1" thickBot="1" x14ac:dyDescent="0.35">
      <c r="B41" s="155" t="s">
        <v>44</v>
      </c>
      <c r="C41" s="155"/>
      <c r="D41" s="155"/>
      <c r="E41" s="155"/>
      <c r="F41" s="44">
        <v>1</v>
      </c>
    </row>
  </sheetData>
  <sheetProtection selectLockedCells="1" selectUnlockedCell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46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129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35</v>
      </c>
      <c r="C2" s="8" t="s">
        <v>40</v>
      </c>
      <c r="D2" s="8" t="s">
        <v>36</v>
      </c>
      <c r="E2" s="9" t="s">
        <v>37</v>
      </c>
      <c r="F2" s="9" t="s">
        <v>38</v>
      </c>
      <c r="G2" s="9" t="s">
        <v>39</v>
      </c>
      <c r="I2" s="130" t="s">
        <v>45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131"/>
    </row>
    <row r="4" spans="1:9" ht="15.75" x14ac:dyDescent="0.2">
      <c r="B4" s="161" t="s">
        <v>0</v>
      </c>
      <c r="C4" s="161"/>
      <c r="D4" s="161"/>
      <c r="E4" s="161"/>
      <c r="F4" s="161"/>
      <c r="G4" s="161"/>
    </row>
    <row r="5" spans="1:9" ht="12.75" customHeight="1" x14ac:dyDescent="0.2">
      <c r="B5" s="15"/>
      <c r="C5" s="15"/>
      <c r="D5" s="15"/>
      <c r="E5" s="16" t="str">
        <f>IF(SUM(E8:E11)=0,0,"")</f>
        <v/>
      </c>
      <c r="F5" s="16"/>
      <c r="G5" s="16"/>
    </row>
    <row r="6" spans="1:9" ht="21.2" customHeight="1" x14ac:dyDescent="0.3">
      <c r="B6" s="162" t="s">
        <v>27</v>
      </c>
      <c r="C6" s="163"/>
      <c r="D6" s="163"/>
      <c r="E6" s="17" t="str">
        <f>IF(SUM(E8:E11)=0,0,"")</f>
        <v/>
      </c>
      <c r="F6" s="17"/>
      <c r="G6" s="18"/>
    </row>
    <row r="7" spans="1:9" x14ac:dyDescent="0.2">
      <c r="E7" s="16" t="str">
        <f>IF(SUM(E8:E11)=0,0,"")</f>
        <v/>
      </c>
      <c r="F7" s="16"/>
      <c r="G7" s="16"/>
    </row>
    <row r="8" spans="1:9" ht="38.25" x14ac:dyDescent="0.2">
      <c r="B8" s="19" t="s">
        <v>2</v>
      </c>
      <c r="C8" s="20" t="s">
        <v>1</v>
      </c>
      <c r="D8" s="21" t="s">
        <v>232</v>
      </c>
      <c r="E8" s="144">
        <v>0.6</v>
      </c>
      <c r="F8" s="22"/>
      <c r="G8" s="22" t="str">
        <f t="shared" ref="G8:G11" si="0">IF(F8="","",E8*F8)</f>
        <v/>
      </c>
      <c r="I8" s="133">
        <v>1410</v>
      </c>
    </row>
    <row r="9" spans="1:9" ht="38.25" x14ac:dyDescent="0.2">
      <c r="B9" s="19" t="s">
        <v>3</v>
      </c>
      <c r="C9" s="20" t="s">
        <v>1</v>
      </c>
      <c r="D9" s="21" t="s">
        <v>233</v>
      </c>
      <c r="E9" s="144">
        <f>+E8</f>
        <v>0.6</v>
      </c>
      <c r="F9" s="22"/>
      <c r="G9" s="22" t="str">
        <f t="shared" si="0"/>
        <v/>
      </c>
      <c r="I9" s="132">
        <v>0</v>
      </c>
    </row>
    <row r="10" spans="1:9" ht="38.25" x14ac:dyDescent="0.2">
      <c r="B10" s="19" t="s">
        <v>5</v>
      </c>
      <c r="C10" s="20" t="s">
        <v>4</v>
      </c>
      <c r="D10" s="21" t="s">
        <v>234</v>
      </c>
      <c r="E10" s="144">
        <v>46</v>
      </c>
      <c r="F10" s="22"/>
      <c r="G10" s="22" t="str">
        <f t="shared" si="0"/>
        <v/>
      </c>
      <c r="I10" s="133">
        <v>23</v>
      </c>
    </row>
    <row r="11" spans="1:9" ht="38.25" x14ac:dyDescent="0.2">
      <c r="B11" s="19" t="s">
        <v>6</v>
      </c>
      <c r="C11" s="20" t="s">
        <v>4</v>
      </c>
      <c r="D11" s="21" t="s">
        <v>250</v>
      </c>
      <c r="E11" s="144">
        <f>80</f>
        <v>80</v>
      </c>
      <c r="F11" s="22"/>
      <c r="G11" s="22" t="str">
        <f t="shared" si="0"/>
        <v/>
      </c>
      <c r="I11" s="132">
        <v>0</v>
      </c>
    </row>
    <row r="12" spans="1:9" x14ac:dyDescent="0.2">
      <c r="E12" s="23" t="str">
        <f>IF(AND(E14=0,E22=0,E27=0,E34=0),0,"")</f>
        <v/>
      </c>
      <c r="G12" s="23"/>
    </row>
    <row r="13" spans="1:9" ht="21.2" customHeight="1" x14ac:dyDescent="0.3">
      <c r="B13" s="162" t="s">
        <v>28</v>
      </c>
      <c r="C13" s="163"/>
      <c r="D13" s="163"/>
      <c r="E13" s="17" t="str">
        <f>IF(AND(E14=0,E22=0,E27=0,E34=0),0,"")</f>
        <v/>
      </c>
      <c r="F13" s="17"/>
      <c r="G13" s="18"/>
    </row>
    <row r="14" spans="1:9" ht="21.2" customHeight="1" x14ac:dyDescent="0.25">
      <c r="B14" s="164" t="s">
        <v>29</v>
      </c>
      <c r="C14" s="164"/>
      <c r="D14" s="164"/>
      <c r="E14" s="24" t="str">
        <f>IF(SUM(E16:E20)=0,0,"")</f>
        <v/>
      </c>
      <c r="F14" s="24"/>
      <c r="G14" s="24"/>
    </row>
    <row r="15" spans="1:9" x14ac:dyDescent="0.2">
      <c r="E15" s="16" t="str">
        <f>IF(SUM(E16:E20)=0,0,"")</f>
        <v/>
      </c>
      <c r="F15" s="16"/>
      <c r="G15" s="16"/>
    </row>
    <row r="16" spans="1:9" ht="38.25" x14ac:dyDescent="0.2">
      <c r="B16" s="19" t="s">
        <v>8</v>
      </c>
      <c r="C16" s="20" t="s">
        <v>9</v>
      </c>
      <c r="D16" s="21" t="s">
        <v>46</v>
      </c>
      <c r="E16" s="144">
        <v>15</v>
      </c>
      <c r="F16" s="22"/>
      <c r="G16" s="22" t="str">
        <f>IF(F16="","",E16*F16)</f>
        <v/>
      </c>
      <c r="I16" s="134">
        <v>16</v>
      </c>
    </row>
    <row r="17" spans="2:9" ht="38.25" x14ac:dyDescent="0.2">
      <c r="B17" s="19" t="s">
        <v>10</v>
      </c>
      <c r="C17" s="20" t="s">
        <v>9</v>
      </c>
      <c r="D17" s="21" t="s">
        <v>47</v>
      </c>
      <c r="E17" s="144">
        <v>30</v>
      </c>
      <c r="F17" s="22"/>
      <c r="G17" s="22" t="str">
        <f t="shared" ref="G17:G20" si="1">IF(F17="","",E17*F17)</f>
        <v/>
      </c>
      <c r="I17" s="135">
        <v>17</v>
      </c>
    </row>
    <row r="18" spans="2:9" ht="38.25" x14ac:dyDescent="0.2">
      <c r="B18" s="19" t="s">
        <v>11</v>
      </c>
      <c r="C18" s="20" t="s">
        <v>4</v>
      </c>
      <c r="D18" s="21" t="s">
        <v>48</v>
      </c>
      <c r="E18" s="144">
        <v>1</v>
      </c>
      <c r="F18" s="22"/>
      <c r="G18" s="22" t="str">
        <f t="shared" si="1"/>
        <v/>
      </c>
      <c r="I18" s="134">
        <v>45</v>
      </c>
    </row>
    <row r="19" spans="2:9" ht="38.25" x14ac:dyDescent="0.2">
      <c r="B19" s="19" t="s">
        <v>12</v>
      </c>
      <c r="C19" s="20" t="s">
        <v>4</v>
      </c>
      <c r="D19" s="21" t="s">
        <v>241</v>
      </c>
      <c r="E19" s="144">
        <f>E18</f>
        <v>1</v>
      </c>
      <c r="F19" s="22"/>
      <c r="G19" s="22" t="str">
        <f t="shared" si="1"/>
        <v/>
      </c>
      <c r="I19" s="136">
        <v>60</v>
      </c>
    </row>
    <row r="20" spans="2:9" ht="25.5" x14ac:dyDescent="0.2">
      <c r="B20" s="19" t="s">
        <v>235</v>
      </c>
      <c r="C20" s="20" t="s">
        <v>7</v>
      </c>
      <c r="D20" s="21" t="s">
        <v>236</v>
      </c>
      <c r="E20" s="144">
        <v>8</v>
      </c>
      <c r="F20" s="22"/>
      <c r="G20" s="22" t="str">
        <f t="shared" si="1"/>
        <v/>
      </c>
      <c r="I20" s="137">
        <v>1</v>
      </c>
    </row>
    <row r="21" spans="2:9" x14ac:dyDescent="0.2">
      <c r="E21" s="16" t="str">
        <f>IF(SUM(E24:E25)=0,0,"")</f>
        <v/>
      </c>
      <c r="F21" s="16"/>
      <c r="G21" s="16"/>
    </row>
    <row r="22" spans="2:9" ht="21.75" customHeight="1" x14ac:dyDescent="0.25">
      <c r="B22" s="165" t="s">
        <v>30</v>
      </c>
      <c r="C22" s="165"/>
      <c r="D22" s="165"/>
      <c r="E22" s="138" t="str">
        <f>IF(SUM(E24:E25)=0,0,"")</f>
        <v/>
      </c>
      <c r="F22" s="138"/>
      <c r="G22" s="138"/>
    </row>
    <row r="23" spans="2:9" x14ac:dyDescent="0.2">
      <c r="E23" s="16" t="str">
        <f>IF(SUM(E24:E25)=0,0,"")</f>
        <v/>
      </c>
      <c r="F23" s="16"/>
      <c r="G23" s="16"/>
    </row>
    <row r="24" spans="2:9" ht="25.5" x14ac:dyDescent="0.2">
      <c r="B24" s="19" t="s">
        <v>15</v>
      </c>
      <c r="C24" s="20" t="s">
        <v>9</v>
      </c>
      <c r="D24" s="21" t="s">
        <v>238</v>
      </c>
      <c r="E24" s="144">
        <v>130</v>
      </c>
      <c r="F24" s="22"/>
      <c r="G24" s="22" t="str">
        <f t="shared" ref="G24" si="2">IF(F24="","",E24*F24)</f>
        <v/>
      </c>
      <c r="I24" s="142">
        <v>10</v>
      </c>
    </row>
    <row r="25" spans="2:9" ht="25.5" x14ac:dyDescent="0.2">
      <c r="B25" s="19" t="s">
        <v>17</v>
      </c>
      <c r="C25" s="20" t="s">
        <v>13</v>
      </c>
      <c r="D25" s="21" t="s">
        <v>237</v>
      </c>
      <c r="E25" s="144">
        <v>20</v>
      </c>
      <c r="F25" s="22"/>
      <c r="G25" s="22" t="str">
        <f t="shared" ref="G25" si="3">IF(F25="","",E25*F25)</f>
        <v/>
      </c>
      <c r="I25" s="141">
        <v>0</v>
      </c>
    </row>
    <row r="26" spans="2:9" x14ac:dyDescent="0.2">
      <c r="E26" s="25" t="str">
        <f>IF(SUM(E29:E32)=0,0,"")</f>
        <v/>
      </c>
      <c r="F26" s="25"/>
      <c r="G26" s="25"/>
    </row>
    <row r="27" spans="2:9" ht="21.2" customHeight="1" x14ac:dyDescent="0.2">
      <c r="B27" s="165" t="s">
        <v>31</v>
      </c>
      <c r="C27" s="165"/>
      <c r="D27" s="165"/>
      <c r="E27" s="26" t="str">
        <f>IF(SUM(E29:E32)=0,0,"")</f>
        <v/>
      </c>
      <c r="F27" s="26"/>
      <c r="G27" s="26"/>
    </row>
    <row r="28" spans="2:9" x14ac:dyDescent="0.2">
      <c r="E28" s="25" t="str">
        <f>IF(SUM(E29:E32)=0,0,"")</f>
        <v/>
      </c>
      <c r="F28" s="25"/>
      <c r="G28" s="25"/>
    </row>
    <row r="29" spans="2:9" ht="38.25" x14ac:dyDescent="0.2">
      <c r="B29" s="19" t="s">
        <v>18</v>
      </c>
      <c r="C29" s="20" t="s">
        <v>16</v>
      </c>
      <c r="D29" s="21" t="s">
        <v>266</v>
      </c>
      <c r="E29" s="144">
        <f>(1050+160+165)*0.15</f>
        <v>206.25</v>
      </c>
      <c r="F29" s="22"/>
      <c r="G29" s="22" t="str">
        <f>IF(F29="","",E29*F29)</f>
        <v/>
      </c>
      <c r="I29" s="134">
        <v>22</v>
      </c>
    </row>
    <row r="30" spans="2:9" ht="38.25" x14ac:dyDescent="0.2">
      <c r="B30" s="19" t="s">
        <v>19</v>
      </c>
      <c r="C30" s="20" t="s">
        <v>9</v>
      </c>
      <c r="D30" s="21" t="s">
        <v>240</v>
      </c>
      <c r="E30" s="151">
        <v>4050</v>
      </c>
      <c r="F30" s="22"/>
      <c r="G30" s="22" t="str">
        <f t="shared" ref="G30:G32" si="4">IF(F30="","",E30*F30)</f>
        <v/>
      </c>
      <c r="I30" s="134">
        <v>7</v>
      </c>
    </row>
    <row r="31" spans="2:9" ht="25.5" x14ac:dyDescent="0.2">
      <c r="B31" s="19" t="s">
        <v>20</v>
      </c>
      <c r="C31" s="20" t="s">
        <v>9</v>
      </c>
      <c r="D31" s="21" t="s">
        <v>49</v>
      </c>
      <c r="E31" s="144">
        <f>E32*0.5</f>
        <v>56.5</v>
      </c>
      <c r="F31" s="22"/>
      <c r="G31" s="22" t="str">
        <f t="shared" si="4"/>
        <v/>
      </c>
      <c r="I31" s="143">
        <v>0</v>
      </c>
    </row>
    <row r="32" spans="2:9" ht="25.5" x14ac:dyDescent="0.2">
      <c r="B32" s="19" t="s">
        <v>21</v>
      </c>
      <c r="C32" s="20" t="s">
        <v>13</v>
      </c>
      <c r="D32" s="21" t="s">
        <v>267</v>
      </c>
      <c r="E32" s="151">
        <f>6+15+46+25+13+8</f>
        <v>113</v>
      </c>
      <c r="F32" s="22"/>
      <c r="G32" s="22" t="str">
        <f t="shared" si="4"/>
        <v/>
      </c>
      <c r="I32" s="134">
        <v>1.2</v>
      </c>
    </row>
    <row r="33" spans="2:9" x14ac:dyDescent="0.2">
      <c r="E33" s="25" t="str">
        <f>IF(SUM(E36:E38)=0,0,"")</f>
        <v/>
      </c>
      <c r="F33" s="25"/>
      <c r="G33" s="25"/>
    </row>
    <row r="34" spans="2:9" ht="21.2" customHeight="1" x14ac:dyDescent="0.2">
      <c r="B34" s="165" t="s">
        <v>32</v>
      </c>
      <c r="C34" s="165"/>
      <c r="D34" s="165"/>
      <c r="E34" s="26" t="str">
        <f>IF(SUM(E36:E38)=0,0,"")</f>
        <v/>
      </c>
      <c r="F34" s="26"/>
      <c r="G34" s="26"/>
    </row>
    <row r="35" spans="2:9" x14ac:dyDescent="0.2">
      <c r="E35" s="25" t="str">
        <f>IF(SUM(E36:E38)=0,0,"")</f>
        <v/>
      </c>
      <c r="F35" s="25"/>
      <c r="G35" s="25"/>
    </row>
    <row r="36" spans="2:9" ht="25.5" x14ac:dyDescent="0.2">
      <c r="B36" s="19" t="s">
        <v>22</v>
      </c>
      <c r="C36" s="20" t="s">
        <v>13</v>
      </c>
      <c r="D36" s="21" t="s">
        <v>50</v>
      </c>
      <c r="E36" s="144">
        <v>10</v>
      </c>
      <c r="F36" s="22"/>
      <c r="G36" s="22" t="str">
        <f>IF(F36="","",E36*F36)</f>
        <v/>
      </c>
      <c r="I36" s="139">
        <v>14</v>
      </c>
    </row>
    <row r="37" spans="2:9" ht="38.25" x14ac:dyDescent="0.2">
      <c r="B37" s="19" t="s">
        <v>23</v>
      </c>
      <c r="C37" s="20" t="s">
        <v>13</v>
      </c>
      <c r="D37" s="21" t="s">
        <v>51</v>
      </c>
      <c r="E37" s="144">
        <f>E38*10</f>
        <v>20</v>
      </c>
      <c r="F37" s="22"/>
      <c r="G37" s="22" t="str">
        <f t="shared" ref="G37:G38" si="5">IF(F37="","",E37*F37)</f>
        <v/>
      </c>
      <c r="I37" s="145">
        <v>15.4</v>
      </c>
    </row>
    <row r="38" spans="2:9" ht="38.25" x14ac:dyDescent="0.2">
      <c r="B38" s="19" t="s">
        <v>24</v>
      </c>
      <c r="C38" s="20" t="s">
        <v>13</v>
      </c>
      <c r="D38" s="21" t="s">
        <v>52</v>
      </c>
      <c r="E38" s="144">
        <v>2</v>
      </c>
      <c r="F38" s="22"/>
      <c r="G38" s="22" t="str">
        <f t="shared" si="5"/>
        <v/>
      </c>
      <c r="I38" s="140">
        <v>14</v>
      </c>
    </row>
    <row r="39" spans="2:9" x14ac:dyDescent="0.2">
      <c r="E39" s="23"/>
      <c r="F39" s="23"/>
      <c r="G39" s="23"/>
    </row>
    <row r="40" spans="2:9" ht="21.2" customHeight="1" x14ac:dyDescent="0.3">
      <c r="B40" s="162" t="s">
        <v>33</v>
      </c>
      <c r="C40" s="163"/>
      <c r="D40" s="163"/>
      <c r="E40" s="17"/>
      <c r="F40" s="17"/>
      <c r="G40" s="18"/>
    </row>
    <row r="41" spans="2:9" ht="20.25" customHeight="1" x14ac:dyDescent="0.25">
      <c r="B41" s="164" t="s">
        <v>34</v>
      </c>
      <c r="C41" s="164"/>
      <c r="D41" s="164"/>
      <c r="E41" s="24" t="str">
        <f>IF(SUM(E43:E43)=0,0,"")</f>
        <v/>
      </c>
      <c r="F41" s="24"/>
      <c r="G41" s="24"/>
    </row>
    <row r="42" spans="2:9" x14ac:dyDescent="0.2">
      <c r="E42" s="16" t="str">
        <f>IF(SUM(E43:E43)=0,0,"")</f>
        <v/>
      </c>
      <c r="F42" s="16"/>
      <c r="G42" s="16"/>
    </row>
    <row r="43" spans="2:9" ht="25.5" x14ac:dyDescent="0.2">
      <c r="B43" s="19" t="s">
        <v>26</v>
      </c>
      <c r="C43" s="20" t="s">
        <v>25</v>
      </c>
      <c r="D43" s="21" t="s">
        <v>226</v>
      </c>
      <c r="E43" s="144">
        <v>35</v>
      </c>
      <c r="F43" s="22"/>
      <c r="G43" s="22" t="str">
        <f t="shared" ref="G43:G44" si="6">IF(F43="","",E43*F43)</f>
        <v/>
      </c>
      <c r="I43" s="137">
        <v>0</v>
      </c>
    </row>
    <row r="44" spans="2:9" ht="25.5" x14ac:dyDescent="0.2">
      <c r="B44" s="19" t="s">
        <v>205</v>
      </c>
      <c r="C44" s="20" t="s">
        <v>4</v>
      </c>
      <c r="D44" s="21" t="s">
        <v>206</v>
      </c>
      <c r="E44" s="144">
        <v>1</v>
      </c>
      <c r="F44" s="22"/>
      <c r="G44" s="22" t="str">
        <f t="shared" si="6"/>
        <v/>
      </c>
      <c r="I44" s="6"/>
    </row>
    <row r="45" spans="2:9" ht="13.5" thickBot="1" x14ac:dyDescent="0.25"/>
    <row r="46" spans="2:9" ht="16.5" thickBot="1" x14ac:dyDescent="0.25">
      <c r="D46" s="27" t="s">
        <v>53</v>
      </c>
      <c r="E46" s="28"/>
      <c r="F46" s="159" t="str">
        <f>IF(SUM(G8:G44)=0,"",SUM(G8:G44))</f>
        <v/>
      </c>
      <c r="G46" s="160"/>
    </row>
  </sheetData>
  <sheetProtection selectLockedCells="1" selectUnlockedCells="1"/>
  <autoFilter ref="E1:G46">
    <filterColumn colId="0">
      <filters blank="1">
        <filter val="0,75"/>
        <filter val="1,00"/>
        <filter val="113,00"/>
        <filter val="13,00"/>
        <filter val="130,00"/>
        <filter val="15,00"/>
        <filter val="182,00"/>
        <filter val="20,00"/>
        <filter val="206,25"/>
        <filter val="30,00"/>
        <filter val="4.450,00"/>
        <filter val="50,00"/>
        <filter val="55,00"/>
        <filter val="56,50"/>
        <filter val="6,00"/>
        <filter val="60,00"/>
        <filter val="8,00"/>
        <filter val="količina"/>
      </filters>
    </filterColumn>
  </autoFilter>
  <dataConsolidate/>
  <mergeCells count="10">
    <mergeCell ref="F46:G46"/>
    <mergeCell ref="B4:G4"/>
    <mergeCell ref="B6:D6"/>
    <mergeCell ref="B13:D13"/>
    <mergeCell ref="B14:D14"/>
    <mergeCell ref="B22:D22"/>
    <mergeCell ref="B27:D27"/>
    <mergeCell ref="B34:D34"/>
    <mergeCell ref="B40:D40"/>
    <mergeCell ref="B41:D4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1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hidden="1" customWidth="1"/>
    <col min="9" max="9" width="8.71093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98" t="s">
        <v>45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6" t="s">
        <v>54</v>
      </c>
      <c r="C4" s="166"/>
      <c r="D4" s="166"/>
      <c r="E4" s="166"/>
      <c r="F4" s="166"/>
      <c r="G4" s="166"/>
    </row>
    <row r="5" spans="1:9" ht="12.75" customHeight="1" x14ac:dyDescent="0.2">
      <c r="B5" s="57"/>
      <c r="C5" s="57"/>
      <c r="D5" s="57"/>
      <c r="E5" s="58"/>
      <c r="F5" s="58"/>
      <c r="G5" s="58"/>
    </row>
    <row r="6" spans="1:9" ht="21.2" customHeight="1" x14ac:dyDescent="0.3">
      <c r="B6" s="167" t="s">
        <v>77</v>
      </c>
      <c r="C6" s="168"/>
      <c r="D6" s="168"/>
      <c r="E6" s="59"/>
      <c r="F6" s="59"/>
      <c r="G6" s="60"/>
    </row>
    <row r="7" spans="1:9" x14ac:dyDescent="0.2">
      <c r="E7" s="58"/>
      <c r="F7" s="58"/>
      <c r="G7" s="58"/>
    </row>
    <row r="8" spans="1:9" ht="38.25" x14ac:dyDescent="0.2">
      <c r="B8" s="63" t="s">
        <v>55</v>
      </c>
      <c r="C8" s="64" t="s">
        <v>16</v>
      </c>
      <c r="D8" s="65" t="s">
        <v>74</v>
      </c>
      <c r="E8" s="69">
        <f>700*0.22</f>
        <v>154</v>
      </c>
      <c r="F8" s="66"/>
      <c r="G8" s="66" t="str">
        <f t="shared" ref="G8:G11" si="0">IF(F8="","",E8*F8)</f>
        <v/>
      </c>
      <c r="I8" s="124">
        <v>5.28</v>
      </c>
    </row>
    <row r="9" spans="1:9" ht="25.5" x14ac:dyDescent="0.2">
      <c r="B9" s="63" t="s">
        <v>57</v>
      </c>
      <c r="C9" s="64" t="s">
        <v>16</v>
      </c>
      <c r="D9" s="65" t="s">
        <v>304</v>
      </c>
      <c r="E9" s="69">
        <f>+('3. VOZIŠČNE KONSTRUKCIJE'!E24*0.82)</f>
        <v>4809.2999999999993</v>
      </c>
      <c r="F9" s="66"/>
      <c r="G9" s="66" t="str">
        <f t="shared" si="0"/>
        <v/>
      </c>
      <c r="I9" s="126">
        <v>5.28</v>
      </c>
    </row>
    <row r="10" spans="1:9" ht="51" x14ac:dyDescent="0.2">
      <c r="B10" s="63" t="s">
        <v>58</v>
      </c>
      <c r="C10" s="64" t="s">
        <v>16</v>
      </c>
      <c r="D10" s="65" t="s">
        <v>306</v>
      </c>
      <c r="E10" s="69">
        <f>(2*38)+('4. ODVODNJAVANJE'!E8*0.3)+('4. ODVODNJAVANJE'!E13*0.3)</f>
        <v>256</v>
      </c>
      <c r="F10" s="66"/>
      <c r="G10" s="66" t="str">
        <f t="shared" si="0"/>
        <v/>
      </c>
      <c r="I10" s="125">
        <v>8.8000000000000007</v>
      </c>
    </row>
    <row r="11" spans="1:9" ht="51" x14ac:dyDescent="0.2">
      <c r="B11" s="63" t="s">
        <v>59</v>
      </c>
      <c r="C11" s="64" t="s">
        <v>16</v>
      </c>
      <c r="D11" s="65" t="s">
        <v>307</v>
      </c>
      <c r="E11" s="69">
        <f>(4*25)+('4. ODVODNJAVANJE'!E14*1.5)+('4. ODVODNJAVANJE'!E14*5)+('4. ODVODNJAVANJE'!E25*4)</f>
        <v>221</v>
      </c>
      <c r="F11" s="66"/>
      <c r="G11" s="66" t="str">
        <f t="shared" si="0"/>
        <v/>
      </c>
      <c r="I11" s="127">
        <v>11.33</v>
      </c>
    </row>
    <row r="12" spans="1:9" x14ac:dyDescent="0.2">
      <c r="E12" s="58"/>
      <c r="F12" s="58"/>
      <c r="G12" s="58"/>
    </row>
    <row r="13" spans="1:9" ht="21.2" customHeight="1" x14ac:dyDescent="0.3">
      <c r="B13" s="167" t="s">
        <v>56</v>
      </c>
      <c r="C13" s="168"/>
      <c r="D13" s="168"/>
      <c r="E13" s="59"/>
      <c r="F13" s="59"/>
      <c r="G13" s="60"/>
    </row>
    <row r="14" spans="1:9" x14ac:dyDescent="0.2">
      <c r="E14" s="58"/>
      <c r="F14" s="58"/>
      <c r="G14" s="58"/>
    </row>
    <row r="15" spans="1:9" ht="38.25" x14ac:dyDescent="0.2">
      <c r="B15" s="63" t="s">
        <v>60</v>
      </c>
      <c r="C15" s="64" t="s">
        <v>9</v>
      </c>
      <c r="D15" s="65" t="s">
        <v>305</v>
      </c>
      <c r="E15" s="69">
        <f>(25*1.7)+(38*1.2)</f>
        <v>88.1</v>
      </c>
      <c r="F15" s="66"/>
      <c r="G15" s="66" t="str">
        <f>IF(F15="","",E15*F15)</f>
        <v/>
      </c>
      <c r="I15" s="121">
        <v>0</v>
      </c>
    </row>
    <row r="16" spans="1:9" ht="25.5" x14ac:dyDescent="0.2">
      <c r="B16" s="63" t="s">
        <v>61</v>
      </c>
      <c r="C16" s="64" t="s">
        <v>9</v>
      </c>
      <c r="D16" s="67" t="s">
        <v>75</v>
      </c>
      <c r="E16" s="69">
        <f>('3. VOZIŠČNE KONSTRUKCIJE'!E24+200)*0.99</f>
        <v>6004.35</v>
      </c>
      <c r="F16" s="66"/>
      <c r="G16" s="66" t="str">
        <f t="shared" ref="G16:G17" si="1">IF(F16="","",E16*F16)</f>
        <v/>
      </c>
      <c r="I16" s="121">
        <v>2</v>
      </c>
    </row>
    <row r="17" spans="1:9" ht="25.5" x14ac:dyDescent="0.2">
      <c r="B17" s="63" t="s">
        <v>209</v>
      </c>
      <c r="C17" s="64" t="s">
        <v>9</v>
      </c>
      <c r="D17" s="67" t="s">
        <v>227</v>
      </c>
      <c r="E17" s="69">
        <f>('3. VOZIŠČNE KONSTRUKCIJE'!E24+200)*1</f>
        <v>6065</v>
      </c>
      <c r="F17" s="66"/>
      <c r="G17" s="66" t="str">
        <f t="shared" si="1"/>
        <v/>
      </c>
      <c r="I17" s="61"/>
    </row>
    <row r="18" spans="1:9" x14ac:dyDescent="0.2">
      <c r="E18" s="58"/>
      <c r="F18" s="58"/>
      <c r="G18" s="58"/>
    </row>
    <row r="19" spans="1:9" ht="21.2" customHeight="1" x14ac:dyDescent="0.3">
      <c r="B19" s="167" t="s">
        <v>78</v>
      </c>
      <c r="C19" s="168"/>
      <c r="D19" s="168"/>
      <c r="E19" s="59"/>
      <c r="F19" s="59"/>
      <c r="G19" s="60"/>
    </row>
    <row r="20" spans="1:9" x14ac:dyDescent="0.2">
      <c r="E20" s="58"/>
      <c r="F20" s="58"/>
      <c r="G20" s="58"/>
    </row>
    <row r="21" spans="1:9" s="82" customFormat="1" ht="38.25" x14ac:dyDescent="0.2">
      <c r="A21" s="79"/>
      <c r="B21" s="80" t="s">
        <v>62</v>
      </c>
      <c r="C21" s="81" t="s">
        <v>9</v>
      </c>
      <c r="D21" s="67" t="s">
        <v>76</v>
      </c>
      <c r="E21" s="69">
        <f>('3. VOZIŠČNE KONSTRUKCIJE'!E24)*1.4</f>
        <v>8211</v>
      </c>
      <c r="F21" s="69"/>
      <c r="G21" s="69" t="str">
        <f t="shared" ref="G21" si="2">IF(F21="","",E21*F21)</f>
        <v/>
      </c>
      <c r="I21" s="149">
        <v>0</v>
      </c>
    </row>
    <row r="22" spans="1:9" x14ac:dyDescent="0.2">
      <c r="E22" s="68"/>
      <c r="F22" s="58"/>
      <c r="G22" s="58"/>
    </row>
    <row r="23" spans="1:9" ht="21.2" customHeight="1" x14ac:dyDescent="0.3">
      <c r="B23" s="167" t="s">
        <v>79</v>
      </c>
      <c r="C23" s="168"/>
      <c r="D23" s="168"/>
      <c r="E23" s="59"/>
      <c r="F23" s="59"/>
      <c r="G23" s="60"/>
    </row>
    <row r="24" spans="1:9" x14ac:dyDescent="0.2">
      <c r="E24" s="58"/>
      <c r="F24" s="58"/>
      <c r="G24" s="58"/>
    </row>
    <row r="25" spans="1:9" ht="89.25" x14ac:dyDescent="0.2">
      <c r="B25" s="63" t="s">
        <v>63</v>
      </c>
      <c r="C25" s="64" t="s">
        <v>16</v>
      </c>
      <c r="D25" s="65" t="s">
        <v>327</v>
      </c>
      <c r="E25" s="69">
        <f>(E10+E11)*0.5</f>
        <v>238.5</v>
      </c>
      <c r="F25" s="66"/>
      <c r="G25" s="66" t="str">
        <f t="shared" ref="G25" si="3">IF(F25="","",E25*F25)</f>
        <v/>
      </c>
      <c r="I25" s="128">
        <v>18</v>
      </c>
    </row>
    <row r="26" spans="1:9" ht="38.25" x14ac:dyDescent="0.2">
      <c r="B26" s="63" t="s">
        <v>64</v>
      </c>
      <c r="C26" s="64" t="s">
        <v>16</v>
      </c>
      <c r="D26" s="65" t="s">
        <v>308</v>
      </c>
      <c r="E26" s="69">
        <f>('3. VOZIŠČNE KONSTRUKCIJE'!E24)*0.4</f>
        <v>2346</v>
      </c>
      <c r="F26" s="66"/>
      <c r="G26" s="66" t="str">
        <f t="shared" ref="G26" si="4">IF(F26="","",E26*F26)</f>
        <v/>
      </c>
      <c r="I26" s="116">
        <v>0</v>
      </c>
    </row>
    <row r="27" spans="1:9" x14ac:dyDescent="0.2">
      <c r="E27" s="58" t="str">
        <f>IF(SUM(E30:E31)=0,0,"")</f>
        <v/>
      </c>
      <c r="F27" s="58"/>
      <c r="G27" s="58"/>
    </row>
    <row r="28" spans="1:9" ht="21.2" customHeight="1" x14ac:dyDescent="0.3">
      <c r="B28" s="167" t="s">
        <v>80</v>
      </c>
      <c r="C28" s="168"/>
      <c r="D28" s="168"/>
      <c r="E28" s="59" t="str">
        <f>IF(SUM(E30:E31)=0,0,"")</f>
        <v/>
      </c>
      <c r="F28" s="59"/>
      <c r="G28" s="60"/>
    </row>
    <row r="29" spans="1:9" x14ac:dyDescent="0.2">
      <c r="E29" s="58" t="str">
        <f>IF(SUM(E30:E31)=0,0,"")</f>
        <v/>
      </c>
      <c r="F29" s="58"/>
      <c r="G29" s="58"/>
    </row>
    <row r="30" spans="1:9" ht="38.25" x14ac:dyDescent="0.2">
      <c r="B30" s="63" t="s">
        <v>65</v>
      </c>
      <c r="C30" s="64" t="s">
        <v>9</v>
      </c>
      <c r="D30" s="65" t="s">
        <v>217</v>
      </c>
      <c r="E30" s="69">
        <v>520</v>
      </c>
      <c r="F30" s="66"/>
      <c r="G30" s="66" t="str">
        <f t="shared" ref="G30:G31" si="5">IF(F30="","",E30*F30)</f>
        <v/>
      </c>
      <c r="I30" s="122">
        <v>0</v>
      </c>
    </row>
    <row r="31" spans="1:9" ht="25.5" x14ac:dyDescent="0.2">
      <c r="B31" s="63" t="s">
        <v>66</v>
      </c>
      <c r="C31" s="64" t="s">
        <v>9</v>
      </c>
      <c r="D31" s="65" t="s">
        <v>222</v>
      </c>
      <c r="E31" s="69">
        <f>E30</f>
        <v>520</v>
      </c>
      <c r="F31" s="66"/>
      <c r="G31" s="66" t="str">
        <f t="shared" si="5"/>
        <v/>
      </c>
      <c r="I31" s="122">
        <v>0</v>
      </c>
    </row>
    <row r="32" spans="1:9" x14ac:dyDescent="0.2">
      <c r="E32" s="58"/>
      <c r="F32" s="58"/>
      <c r="G32" s="58"/>
    </row>
    <row r="33" spans="2:9" ht="21.2" customHeight="1" x14ac:dyDescent="0.3">
      <c r="B33" s="167" t="s">
        <v>81</v>
      </c>
      <c r="C33" s="168"/>
      <c r="D33" s="168"/>
      <c r="E33" s="59"/>
      <c r="F33" s="59"/>
      <c r="G33" s="60"/>
    </row>
    <row r="34" spans="2:9" x14ac:dyDescent="0.2">
      <c r="E34" s="58"/>
      <c r="F34" s="58"/>
      <c r="G34" s="58"/>
    </row>
    <row r="35" spans="2:9" ht="25.5" x14ac:dyDescent="0.2">
      <c r="B35" s="63" t="s">
        <v>68</v>
      </c>
      <c r="C35" s="64" t="s">
        <v>67</v>
      </c>
      <c r="D35" s="65" t="s">
        <v>223</v>
      </c>
      <c r="E35" s="69">
        <f>E37+E38+E39</f>
        <v>9180.3249999999989</v>
      </c>
      <c r="F35" s="66"/>
      <c r="G35" s="66" t="str">
        <f t="shared" ref="G35:G39" si="6">IF(F35="","",E35*F35)</f>
        <v/>
      </c>
      <c r="I35" s="120">
        <v>0</v>
      </c>
    </row>
    <row r="36" spans="2:9" ht="51" x14ac:dyDescent="0.2">
      <c r="B36" s="63" t="s">
        <v>69</v>
      </c>
      <c r="C36" s="64" t="s">
        <v>67</v>
      </c>
      <c r="D36" s="67" t="s">
        <v>251</v>
      </c>
      <c r="E36" s="69">
        <f>(('1. PREDDELA'!E31)*0.1)*2.3</f>
        <v>12.994999999999999</v>
      </c>
      <c r="F36" s="66"/>
      <c r="G36" s="66" t="str">
        <f t="shared" si="6"/>
        <v/>
      </c>
      <c r="I36" s="121">
        <v>0</v>
      </c>
    </row>
    <row r="37" spans="2:9" ht="38.25" x14ac:dyDescent="0.2">
      <c r="B37" s="63" t="s">
        <v>70</v>
      </c>
      <c r="C37" s="64" t="s">
        <v>67</v>
      </c>
      <c r="D37" s="65" t="s">
        <v>210</v>
      </c>
      <c r="E37" s="69">
        <f>(E8+E9+E10+'1. PREDDELA'!E29)*1.5</f>
        <v>8138.3249999999989</v>
      </c>
      <c r="F37" s="66"/>
      <c r="G37" s="66" t="str">
        <f t="shared" si="6"/>
        <v/>
      </c>
      <c r="I37" s="121">
        <v>0</v>
      </c>
    </row>
    <row r="38" spans="2:9" ht="38.25" x14ac:dyDescent="0.2">
      <c r="B38" s="63" t="s">
        <v>71</v>
      </c>
      <c r="C38" s="64" t="s">
        <v>67</v>
      </c>
      <c r="D38" s="65" t="s">
        <v>211</v>
      </c>
      <c r="E38" s="69">
        <f>(('1. PREDDELA'!E30*0.11))*2.3</f>
        <v>1024.6499999999999</v>
      </c>
      <c r="F38" s="66"/>
      <c r="G38" s="66" t="str">
        <f t="shared" si="6"/>
        <v/>
      </c>
      <c r="I38" s="121">
        <v>0</v>
      </c>
    </row>
    <row r="39" spans="2:9" ht="51" x14ac:dyDescent="0.2">
      <c r="B39" s="63" t="s">
        <v>72</v>
      </c>
      <c r="C39" s="64" t="s">
        <v>67</v>
      </c>
      <c r="D39" s="65" t="s">
        <v>212</v>
      </c>
      <c r="E39" s="69">
        <f>(('1. PREDDELA'!E38*120/1000)+(('1. PREDDELA'!E37)*170/1000)+(('1. PREDDELA'!E36)*330/1000))*2.5</f>
        <v>17.349999999999998</v>
      </c>
      <c r="F39" s="66"/>
      <c r="G39" s="66" t="str">
        <f t="shared" si="6"/>
        <v/>
      </c>
      <c r="I39" s="121">
        <v>0</v>
      </c>
    </row>
    <row r="40" spans="2:9" ht="13.5" thickBot="1" x14ac:dyDescent="0.25">
      <c r="B40" s="70"/>
      <c r="C40" s="71"/>
      <c r="D40" s="72"/>
      <c r="E40" s="73"/>
      <c r="F40" s="73"/>
      <c r="G40" s="73"/>
      <c r="I40" s="61"/>
    </row>
    <row r="41" spans="2:9" ht="16.5" thickBot="1" x14ac:dyDescent="0.25">
      <c r="D41" s="74" t="s">
        <v>73</v>
      </c>
      <c r="E41" s="75"/>
      <c r="F41" s="169" t="str">
        <f>IF(SUM(G8:G39)=0,"",SUM(G8:G39))</f>
        <v/>
      </c>
      <c r="G41" s="170"/>
    </row>
  </sheetData>
  <sheetProtection selectLockedCells="1" selectUnlockedCells="1"/>
  <autoFilter ref="E1:G41">
    <filterColumn colId="0">
      <filters blank="1">
        <filter val="1.024,65"/>
        <filter val="13,00"/>
        <filter val="154,00"/>
        <filter val="17,35"/>
        <filter val="2.306,00"/>
        <filter val="221,00"/>
        <filter val="238,50"/>
        <filter val="256,00"/>
        <filter val="4.727,30"/>
        <filter val="5.905,35"/>
        <filter val="5.965,00"/>
        <filter val="520,00"/>
        <filter val="8.015,33"/>
        <filter val="8.071,00"/>
        <filter val="88,10"/>
        <filter val="9.057,33"/>
        <filter val="količina"/>
      </filters>
    </filterColumn>
  </autoFilter>
  <dataConsolidate/>
  <mergeCells count="8">
    <mergeCell ref="B4:G4"/>
    <mergeCell ref="B6:D6"/>
    <mergeCell ref="B13:D13"/>
    <mergeCell ref="B19:D19"/>
    <mergeCell ref="F41:G41"/>
    <mergeCell ref="B23:D23"/>
    <mergeCell ref="B28:D28"/>
    <mergeCell ref="B33:D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43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98" t="s">
        <v>45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6" t="s">
        <v>82</v>
      </c>
      <c r="C4" s="166"/>
      <c r="D4" s="166"/>
      <c r="E4" s="166"/>
      <c r="F4" s="166"/>
      <c r="G4" s="166"/>
    </row>
    <row r="5" spans="1:9" ht="12.75" customHeight="1" x14ac:dyDescent="0.2">
      <c r="B5" s="57"/>
      <c r="C5" s="57"/>
      <c r="D5" s="57"/>
      <c r="E5" s="76"/>
      <c r="F5" s="76"/>
      <c r="G5" s="76"/>
    </row>
    <row r="6" spans="1:9" ht="21.2" customHeight="1" x14ac:dyDescent="0.3">
      <c r="B6" s="167" t="s">
        <v>134</v>
      </c>
      <c r="C6" s="168"/>
      <c r="D6" s="168"/>
      <c r="E6" s="59"/>
      <c r="F6" s="59"/>
      <c r="G6" s="60"/>
    </row>
    <row r="7" spans="1:9" ht="21.2" customHeight="1" x14ac:dyDescent="0.25">
      <c r="B7" s="172" t="s">
        <v>83</v>
      </c>
      <c r="C7" s="172"/>
      <c r="D7" s="172"/>
      <c r="E7" s="77"/>
      <c r="F7" s="77"/>
      <c r="G7" s="77"/>
    </row>
    <row r="8" spans="1:9" ht="13.5" x14ac:dyDescent="0.25">
      <c r="E8" s="78"/>
      <c r="F8" s="78"/>
      <c r="G8" s="78"/>
    </row>
    <row r="9" spans="1:9" s="82" customFormat="1" ht="51" x14ac:dyDescent="0.2">
      <c r="A9" s="79"/>
      <c r="B9" s="80" t="s">
        <v>176</v>
      </c>
      <c r="C9" s="81" t="s">
        <v>16</v>
      </c>
      <c r="D9" s="67" t="s">
        <v>270</v>
      </c>
      <c r="E9" s="69">
        <f>E24*0.28</f>
        <v>1642.2</v>
      </c>
      <c r="F9" s="69"/>
      <c r="G9" s="69" t="str">
        <f t="shared" ref="G9:G10" si="0">IF(F9="","",E9*F9)</f>
        <v/>
      </c>
      <c r="I9" s="114">
        <v>22</v>
      </c>
    </row>
    <row r="10" spans="1:9" ht="38.25" x14ac:dyDescent="0.2">
      <c r="B10" s="63" t="s">
        <v>177</v>
      </c>
      <c r="C10" s="64" t="s">
        <v>16</v>
      </c>
      <c r="D10" s="65" t="s">
        <v>202</v>
      </c>
      <c r="E10" s="69">
        <f>(E14+E15)*0.05</f>
        <v>293.25</v>
      </c>
      <c r="F10" s="66"/>
      <c r="G10" s="66" t="str">
        <f t="shared" si="0"/>
        <v/>
      </c>
      <c r="I10" s="117">
        <v>5</v>
      </c>
    </row>
    <row r="11" spans="1:9" x14ac:dyDescent="0.2">
      <c r="E11" s="58"/>
      <c r="F11" s="58"/>
      <c r="G11" s="58"/>
    </row>
    <row r="12" spans="1:9" ht="21.75" customHeight="1" x14ac:dyDescent="0.25">
      <c r="B12" s="173" t="s">
        <v>178</v>
      </c>
      <c r="C12" s="173"/>
      <c r="D12" s="173"/>
      <c r="E12" s="78" t="str">
        <f>IF(SUM(E14:E15)=0,0,"")</f>
        <v/>
      </c>
      <c r="F12" s="78"/>
      <c r="G12" s="78"/>
    </row>
    <row r="13" spans="1:9" x14ac:dyDescent="0.2">
      <c r="E13" s="58" t="str">
        <f>IF(SUM(E14:E15)=0,0,"")</f>
        <v/>
      </c>
      <c r="F13" s="58"/>
      <c r="G13" s="58"/>
    </row>
    <row r="14" spans="1:9" ht="89.25" x14ac:dyDescent="0.2">
      <c r="B14" s="63" t="s">
        <v>179</v>
      </c>
      <c r="C14" s="64" t="s">
        <v>9</v>
      </c>
      <c r="D14" s="65" t="s">
        <v>322</v>
      </c>
      <c r="E14" s="69">
        <f>555+160+100</f>
        <v>815</v>
      </c>
      <c r="F14" s="66"/>
      <c r="G14" s="66" t="str">
        <f t="shared" ref="G14" si="1">IF(F14="","",E14*F14)</f>
        <v/>
      </c>
      <c r="I14" s="119">
        <v>0</v>
      </c>
    </row>
    <row r="15" spans="1:9" ht="76.5" x14ac:dyDescent="0.2">
      <c r="B15" s="63" t="s">
        <v>180</v>
      </c>
      <c r="C15" s="64" t="s">
        <v>9</v>
      </c>
      <c r="D15" s="65" t="s">
        <v>271</v>
      </c>
      <c r="E15" s="69">
        <f>5050</f>
        <v>5050</v>
      </c>
      <c r="F15" s="66"/>
      <c r="G15" s="66" t="str">
        <f t="shared" ref="G15" si="2">IF(F15="","",E15*F15)</f>
        <v/>
      </c>
      <c r="I15" s="119">
        <v>0</v>
      </c>
    </row>
    <row r="16" spans="1:9" x14ac:dyDescent="0.2">
      <c r="E16" s="58"/>
      <c r="F16" s="58"/>
      <c r="G16" s="58"/>
    </row>
    <row r="17" spans="1:9" ht="21.2" customHeight="1" x14ac:dyDescent="0.3">
      <c r="B17" s="167" t="s">
        <v>181</v>
      </c>
      <c r="C17" s="168"/>
      <c r="D17" s="168"/>
      <c r="E17" s="59"/>
      <c r="F17" s="59"/>
      <c r="G17" s="60"/>
    </row>
    <row r="18" spans="1:9" ht="21.2" customHeight="1" x14ac:dyDescent="0.25">
      <c r="B18" s="172" t="s">
        <v>182</v>
      </c>
      <c r="C18" s="172"/>
      <c r="D18" s="172"/>
      <c r="E18" s="77" t="str">
        <f>IF(SUM(E20:E20)=0,0,"")</f>
        <v/>
      </c>
      <c r="F18" s="77"/>
      <c r="G18" s="77"/>
    </row>
    <row r="19" spans="1:9" x14ac:dyDescent="0.2">
      <c r="E19" s="58" t="str">
        <f>IF(SUM(E20:E20)=0,0,"")</f>
        <v/>
      </c>
      <c r="F19" s="58"/>
      <c r="G19" s="58"/>
    </row>
    <row r="20" spans="1:9" ht="51" x14ac:dyDescent="0.2">
      <c r="B20" s="63" t="s">
        <v>183</v>
      </c>
      <c r="C20" s="64" t="s">
        <v>16</v>
      </c>
      <c r="D20" s="65" t="s">
        <v>224</v>
      </c>
      <c r="E20" s="69">
        <f>150*0.15</f>
        <v>22.5</v>
      </c>
      <c r="F20" s="66"/>
      <c r="G20" s="66" t="str">
        <f>IF(F20="","",E20*F20)</f>
        <v/>
      </c>
      <c r="I20" s="123">
        <v>0</v>
      </c>
    </row>
    <row r="21" spans="1:9" s="62" customFormat="1" x14ac:dyDescent="0.2">
      <c r="A21" s="53"/>
      <c r="B21" s="83"/>
      <c r="C21" s="84"/>
      <c r="D21" s="85"/>
      <c r="E21" s="86"/>
      <c r="F21" s="86"/>
      <c r="G21" s="86"/>
      <c r="I21" s="99"/>
    </row>
    <row r="22" spans="1:9" s="62" customFormat="1" ht="27" customHeight="1" x14ac:dyDescent="0.25">
      <c r="A22" s="53"/>
      <c r="B22" s="171" t="s">
        <v>184</v>
      </c>
      <c r="C22" s="171"/>
      <c r="D22" s="171"/>
      <c r="E22" s="87"/>
      <c r="F22" s="87"/>
      <c r="G22" s="87"/>
      <c r="I22" s="99"/>
    </row>
    <row r="23" spans="1:9" s="62" customFormat="1" x14ac:dyDescent="0.2">
      <c r="A23" s="53"/>
      <c r="B23" s="83"/>
      <c r="C23" s="84"/>
      <c r="D23" s="85"/>
      <c r="E23" s="86"/>
      <c r="F23" s="86"/>
      <c r="G23" s="86"/>
      <c r="I23" s="99"/>
    </row>
    <row r="24" spans="1:9" ht="89.25" x14ac:dyDescent="0.2">
      <c r="B24" s="63" t="s">
        <v>185</v>
      </c>
      <c r="C24" s="64" t="s">
        <v>9</v>
      </c>
      <c r="D24" s="65" t="s">
        <v>268</v>
      </c>
      <c r="E24" s="69">
        <f>E14+E15</f>
        <v>5865</v>
      </c>
      <c r="F24" s="66"/>
      <c r="G24" s="66" t="str">
        <f t="shared" ref="G24:G25" si="3">IF(F24="","",E24*F24)</f>
        <v/>
      </c>
      <c r="I24" s="118">
        <v>0</v>
      </c>
    </row>
    <row r="25" spans="1:9" ht="38.25" x14ac:dyDescent="0.2">
      <c r="B25" s="63" t="s">
        <v>239</v>
      </c>
      <c r="C25" s="64" t="s">
        <v>13</v>
      </c>
      <c r="D25" s="65" t="s">
        <v>269</v>
      </c>
      <c r="E25" s="69">
        <f>230+20</f>
        <v>250</v>
      </c>
      <c r="F25" s="66"/>
      <c r="G25" s="66" t="str">
        <f t="shared" si="3"/>
        <v/>
      </c>
      <c r="I25" s="61"/>
    </row>
    <row r="26" spans="1:9" x14ac:dyDescent="0.2">
      <c r="E26" s="58"/>
      <c r="F26" s="58"/>
      <c r="G26" s="58"/>
    </row>
    <row r="27" spans="1:9" ht="27" customHeight="1" x14ac:dyDescent="0.25">
      <c r="B27" s="173" t="s">
        <v>186</v>
      </c>
      <c r="C27" s="173"/>
      <c r="D27" s="173"/>
      <c r="E27" s="78"/>
      <c r="F27" s="78"/>
      <c r="G27" s="78"/>
    </row>
    <row r="28" spans="1:9" x14ac:dyDescent="0.2">
      <c r="E28" s="58"/>
      <c r="F28" s="58"/>
      <c r="G28" s="58"/>
    </row>
    <row r="29" spans="1:9" ht="38.25" x14ac:dyDescent="0.2">
      <c r="B29" s="63" t="s">
        <v>187</v>
      </c>
      <c r="C29" s="64" t="s">
        <v>9</v>
      </c>
      <c r="D29" s="65" t="s">
        <v>218</v>
      </c>
      <c r="E29" s="69">
        <f>+'1. PREDDELA'!E31</f>
        <v>56.5</v>
      </c>
      <c r="F29" s="66"/>
      <c r="G29" s="66" t="str">
        <f t="shared" ref="G29:G31" si="4">IF(F29="","",E29*F29)</f>
        <v/>
      </c>
      <c r="I29" s="121">
        <v>0</v>
      </c>
    </row>
    <row r="30" spans="1:9" ht="25.5" x14ac:dyDescent="0.2">
      <c r="B30" s="63" t="s">
        <v>188</v>
      </c>
      <c r="C30" s="64" t="s">
        <v>9</v>
      </c>
      <c r="D30" s="65" t="s">
        <v>203</v>
      </c>
      <c r="E30" s="69">
        <f>E29</f>
        <v>56.5</v>
      </c>
      <c r="F30" s="66"/>
      <c r="G30" s="66" t="str">
        <f t="shared" si="4"/>
        <v/>
      </c>
      <c r="I30" s="121">
        <v>0</v>
      </c>
    </row>
    <row r="31" spans="1:9" ht="25.5" x14ac:dyDescent="0.2">
      <c r="B31" s="63" t="s">
        <v>189</v>
      </c>
      <c r="C31" s="64" t="s">
        <v>13</v>
      </c>
      <c r="D31" s="65" t="s">
        <v>225</v>
      </c>
      <c r="E31" s="69">
        <f>+'1. PREDDELA'!E32</f>
        <v>113</v>
      </c>
      <c r="F31" s="66"/>
      <c r="G31" s="66" t="str">
        <f t="shared" si="4"/>
        <v/>
      </c>
      <c r="I31" s="121">
        <v>0</v>
      </c>
    </row>
    <row r="32" spans="1:9" ht="13.5" x14ac:dyDescent="0.25">
      <c r="B32" s="70"/>
      <c r="C32" s="71"/>
      <c r="D32" s="72"/>
      <c r="E32" s="88"/>
      <c r="F32" s="73"/>
      <c r="G32" s="88"/>
      <c r="I32" s="61"/>
    </row>
    <row r="33" spans="2:9" ht="21.2" customHeight="1" x14ac:dyDescent="0.3">
      <c r="B33" s="167" t="s">
        <v>190</v>
      </c>
      <c r="C33" s="168"/>
      <c r="D33" s="168"/>
      <c r="E33" s="59"/>
      <c r="F33" s="59"/>
      <c r="G33" s="60"/>
    </row>
    <row r="34" spans="2:9" x14ac:dyDescent="0.2">
      <c r="E34" s="58"/>
      <c r="F34" s="58"/>
      <c r="G34" s="58"/>
    </row>
    <row r="35" spans="2:9" ht="21.2" customHeight="1" x14ac:dyDescent="0.25">
      <c r="B35" s="173" t="s">
        <v>191</v>
      </c>
      <c r="C35" s="173"/>
      <c r="D35" s="173"/>
      <c r="E35" s="78"/>
      <c r="F35" s="78"/>
      <c r="G35" s="78"/>
    </row>
    <row r="36" spans="2:9" x14ac:dyDescent="0.2">
      <c r="E36" s="58"/>
      <c r="F36" s="58"/>
      <c r="G36" s="58"/>
    </row>
    <row r="37" spans="2:9" ht="38.25" x14ac:dyDescent="0.2">
      <c r="B37" s="63" t="s">
        <v>192</v>
      </c>
      <c r="C37" s="64" t="s">
        <v>13</v>
      </c>
      <c r="D37" s="65" t="s">
        <v>309</v>
      </c>
      <c r="E37" s="69">
        <f>(20+5+10+110+15+25)</f>
        <v>185</v>
      </c>
      <c r="F37" s="66"/>
      <c r="G37" s="66" t="str">
        <f t="shared" ref="G37" si="5">IF(F37="","",E37*F37)</f>
        <v/>
      </c>
      <c r="I37" s="115">
        <v>20</v>
      </c>
    </row>
    <row r="38" spans="2:9" x14ac:dyDescent="0.2">
      <c r="E38" s="58" t="str">
        <f>IF(SUM(E41:E41)=0,0,"")</f>
        <v/>
      </c>
      <c r="F38" s="58"/>
      <c r="G38" s="58"/>
    </row>
    <row r="39" spans="2:9" ht="21.2" customHeight="1" x14ac:dyDescent="0.3">
      <c r="B39" s="167" t="s">
        <v>193</v>
      </c>
      <c r="C39" s="168"/>
      <c r="D39" s="168"/>
      <c r="E39" s="59" t="str">
        <f>IF(SUM(E41:E41)=0,0,"")</f>
        <v/>
      </c>
      <c r="F39" s="59"/>
      <c r="G39" s="60"/>
    </row>
    <row r="40" spans="2:9" x14ac:dyDescent="0.2">
      <c r="E40" s="58" t="str">
        <f>IF(SUM(E41:E41)=0,0,"")</f>
        <v/>
      </c>
      <c r="F40" s="58"/>
      <c r="G40" s="58"/>
    </row>
    <row r="41" spans="2:9" ht="38.25" x14ac:dyDescent="0.2">
      <c r="B41" s="63" t="s">
        <v>194</v>
      </c>
      <c r="C41" s="64" t="s">
        <v>16</v>
      </c>
      <c r="D41" s="65" t="s">
        <v>204</v>
      </c>
      <c r="E41" s="69">
        <f>200*0.1</f>
        <v>20</v>
      </c>
      <c r="F41" s="66"/>
      <c r="G41" s="66" t="str">
        <f>IF(F41="","",E41*F41)</f>
        <v/>
      </c>
      <c r="I41" s="123">
        <v>0</v>
      </c>
    </row>
    <row r="42" spans="2:9" ht="13.5" thickBot="1" x14ac:dyDescent="0.25"/>
    <row r="43" spans="2:9" ht="16.5" thickBot="1" x14ac:dyDescent="0.25">
      <c r="D43" s="74" t="s">
        <v>133</v>
      </c>
      <c r="E43" s="75"/>
      <c r="F43" s="169" t="str">
        <f>IF(SUM(G9:G41)=0,"",SUM(G9:G41))</f>
        <v/>
      </c>
      <c r="G43" s="170"/>
    </row>
  </sheetData>
  <sheetProtection selectLockedCells="1" selectUnlockedCells="1"/>
  <autoFilter ref="E1:G43">
    <filterColumn colId="0">
      <filters blank="1">
        <filter val="1.614,20"/>
        <filter val="113,00"/>
        <filter val="160,00"/>
        <filter val="20,00"/>
        <filter val="22,50"/>
        <filter val="230,00"/>
        <filter val="288,25"/>
        <filter val="5.050,00"/>
        <filter val="5.765,00"/>
        <filter val="56,50"/>
        <filter val="715,00"/>
        <filter val="količina"/>
      </filters>
    </filterColumn>
  </autoFilter>
  <dataConsolidate/>
  <mergeCells count="12">
    <mergeCell ref="B35:D35"/>
    <mergeCell ref="F43:G43"/>
    <mergeCell ref="B27:D27"/>
    <mergeCell ref="B33:D33"/>
    <mergeCell ref="B39:D39"/>
    <mergeCell ref="B22:D22"/>
    <mergeCell ref="B4:G4"/>
    <mergeCell ref="B6:D6"/>
    <mergeCell ref="B7:D7"/>
    <mergeCell ref="B17:D17"/>
    <mergeCell ref="B18:D18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35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4.7109375" style="48" customWidth="1"/>
    <col min="5" max="5" width="9.140625" style="49"/>
    <col min="6" max="6" width="9.140625" style="49" customWidth="1"/>
    <col min="7" max="7" width="9.7109375" style="49" customWidth="1"/>
    <col min="8" max="8" width="3.5703125" style="61" customWidth="1"/>
    <col min="9" max="9" width="8.42578125" style="102" hidden="1" customWidth="1"/>
    <col min="10" max="10" width="9.140625" style="61" customWidth="1"/>
    <col min="11" max="16384" width="9.140625" style="61"/>
  </cols>
  <sheetData>
    <row r="1" spans="1:9" ht="9.6" customHeight="1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103" t="s">
        <v>45</v>
      </c>
    </row>
    <row r="3" spans="1:9" s="62" customFormat="1" ht="9.6" customHeight="1" x14ac:dyDescent="0.2">
      <c r="A3" s="53"/>
      <c r="B3" s="54"/>
      <c r="C3" s="54"/>
      <c r="D3" s="55"/>
      <c r="E3" s="56"/>
      <c r="F3" s="56"/>
      <c r="G3" s="56"/>
      <c r="I3" s="104"/>
    </row>
    <row r="4" spans="1:9" ht="15.75" x14ac:dyDescent="0.2">
      <c r="B4" s="166" t="s">
        <v>84</v>
      </c>
      <c r="C4" s="166"/>
      <c r="D4" s="166"/>
      <c r="E4" s="166"/>
      <c r="F4" s="166"/>
      <c r="G4" s="166"/>
    </row>
    <row r="5" spans="1:9" ht="9.6" customHeight="1" x14ac:dyDescent="0.2">
      <c r="E5" s="58" t="str">
        <f>IF(SUM(E8:E9)=0,0,"")</f>
        <v/>
      </c>
      <c r="F5" s="58"/>
      <c r="G5" s="58"/>
    </row>
    <row r="6" spans="1:9" ht="21.2" customHeight="1" x14ac:dyDescent="0.3">
      <c r="B6" s="167" t="s">
        <v>85</v>
      </c>
      <c r="C6" s="168"/>
      <c r="D6" s="168"/>
      <c r="E6" s="59" t="str">
        <f>IF(SUM(E8:E9)=0,0,"")</f>
        <v/>
      </c>
      <c r="F6" s="59"/>
      <c r="G6" s="60"/>
    </row>
    <row r="7" spans="1:9" ht="9.6" customHeight="1" x14ac:dyDescent="0.2">
      <c r="E7" s="58" t="str">
        <f>IF(SUM(E8:E9)=0,0,"")</f>
        <v/>
      </c>
      <c r="F7" s="58"/>
      <c r="G7" s="58"/>
    </row>
    <row r="8" spans="1:9" ht="51" x14ac:dyDescent="0.2">
      <c r="B8" s="63" t="s">
        <v>86</v>
      </c>
      <c r="C8" s="64" t="s">
        <v>13</v>
      </c>
      <c r="D8" s="65" t="s">
        <v>249</v>
      </c>
      <c r="E8" s="69">
        <f>20+60+37+60+50+55+35+35+20+40+28+60</f>
        <v>500</v>
      </c>
      <c r="F8" s="66"/>
      <c r="G8" s="66" t="str">
        <f t="shared" ref="G8" si="0">IF(F8="","",E8*F8)</f>
        <v/>
      </c>
      <c r="I8" s="107">
        <v>6.7</v>
      </c>
    </row>
    <row r="9" spans="1:9" ht="38.25" x14ac:dyDescent="0.2">
      <c r="B9" s="63" t="s">
        <v>87</v>
      </c>
      <c r="C9" s="64" t="s">
        <v>13</v>
      </c>
      <c r="D9" s="65" t="s">
        <v>103</v>
      </c>
      <c r="E9" s="152">
        <f>+E8</f>
        <v>500</v>
      </c>
      <c r="F9" s="66"/>
      <c r="G9" s="66" t="str">
        <f t="shared" ref="G9" si="1">IF(F9="","",E9*F9)</f>
        <v/>
      </c>
      <c r="I9" s="109">
        <v>0</v>
      </c>
    </row>
    <row r="10" spans="1:9" ht="9.6" customHeight="1" x14ac:dyDescent="0.2">
      <c r="E10" s="58"/>
      <c r="F10" s="58"/>
      <c r="G10" s="58"/>
    </row>
    <row r="11" spans="1:9" ht="21.2" customHeight="1" x14ac:dyDescent="0.3">
      <c r="B11" s="167" t="s">
        <v>88</v>
      </c>
      <c r="C11" s="168"/>
      <c r="D11" s="168"/>
      <c r="E11" s="59"/>
      <c r="F11" s="59"/>
      <c r="G11" s="60"/>
    </row>
    <row r="12" spans="1:9" ht="9.6" customHeight="1" x14ac:dyDescent="0.2">
      <c r="E12" s="58"/>
      <c r="F12" s="58"/>
      <c r="G12" s="58"/>
    </row>
    <row r="13" spans="1:9" ht="63.75" x14ac:dyDescent="0.2">
      <c r="B13" s="63" t="s">
        <v>89</v>
      </c>
      <c r="C13" s="64" t="s">
        <v>13</v>
      </c>
      <c r="D13" s="65" t="s">
        <v>275</v>
      </c>
      <c r="E13" s="69">
        <v>100</v>
      </c>
      <c r="F13" s="66"/>
      <c r="G13" s="66" t="str">
        <f t="shared" ref="G13:G16" si="2">IF(F13="","",E13*F13)</f>
        <v/>
      </c>
      <c r="I13" s="106">
        <v>29.36</v>
      </c>
    </row>
    <row r="14" spans="1:9" ht="76.5" x14ac:dyDescent="0.2">
      <c r="B14" s="63" t="s">
        <v>90</v>
      </c>
      <c r="C14" s="64" t="s">
        <v>13</v>
      </c>
      <c r="D14" s="65" t="s">
        <v>276</v>
      </c>
      <c r="E14" s="69">
        <v>10</v>
      </c>
      <c r="F14" s="66"/>
      <c r="G14" s="66" t="str">
        <f t="shared" si="2"/>
        <v/>
      </c>
      <c r="I14" s="105">
        <v>0</v>
      </c>
    </row>
    <row r="15" spans="1:9" ht="51" x14ac:dyDescent="0.2">
      <c r="B15" s="63" t="s">
        <v>91</v>
      </c>
      <c r="C15" s="64" t="s">
        <v>13</v>
      </c>
      <c r="D15" s="65" t="s">
        <v>274</v>
      </c>
      <c r="E15" s="69">
        <f>+E13</f>
        <v>100</v>
      </c>
      <c r="F15" s="66"/>
      <c r="G15" s="66" t="str">
        <f t="shared" si="2"/>
        <v/>
      </c>
      <c r="I15" s="106">
        <v>3.5</v>
      </c>
    </row>
    <row r="16" spans="1:9" ht="38.25" x14ac:dyDescent="0.2">
      <c r="B16" s="63" t="s">
        <v>92</v>
      </c>
      <c r="C16" s="64" t="s">
        <v>13</v>
      </c>
      <c r="D16" s="65" t="s">
        <v>259</v>
      </c>
      <c r="E16" s="69">
        <f>E14</f>
        <v>10</v>
      </c>
      <c r="F16" s="66"/>
      <c r="G16" s="66" t="str">
        <f t="shared" si="2"/>
        <v/>
      </c>
      <c r="I16" s="106">
        <v>8</v>
      </c>
    </row>
    <row r="17" spans="1:9" ht="63.75" x14ac:dyDescent="0.2">
      <c r="B17" s="63" t="s">
        <v>93</v>
      </c>
      <c r="C17" s="64" t="s">
        <v>13</v>
      </c>
      <c r="D17" s="65" t="s">
        <v>256</v>
      </c>
      <c r="E17" s="69">
        <f>+E13</f>
        <v>100</v>
      </c>
      <c r="F17" s="66"/>
      <c r="G17" s="66" t="str">
        <f t="shared" ref="G17:G18" si="3">IF(F17="","",E17*F17)</f>
        <v/>
      </c>
      <c r="I17" s="108">
        <v>3.6</v>
      </c>
    </row>
    <row r="18" spans="1:9" ht="51" x14ac:dyDescent="0.2">
      <c r="B18" s="63" t="s">
        <v>94</v>
      </c>
      <c r="C18" s="64" t="s">
        <v>13</v>
      </c>
      <c r="D18" s="65" t="s">
        <v>257</v>
      </c>
      <c r="E18" s="69">
        <f>E17</f>
        <v>100</v>
      </c>
      <c r="F18" s="66"/>
      <c r="G18" s="66" t="str">
        <f t="shared" si="3"/>
        <v/>
      </c>
      <c r="I18" s="106">
        <v>1.04</v>
      </c>
    </row>
    <row r="19" spans="1:9" s="82" customFormat="1" ht="51" x14ac:dyDescent="0.2">
      <c r="A19" s="79"/>
      <c r="B19" s="80" t="s">
        <v>219</v>
      </c>
      <c r="C19" s="81" t="s">
        <v>4</v>
      </c>
      <c r="D19" s="67" t="s">
        <v>272</v>
      </c>
      <c r="E19" s="152">
        <v>5</v>
      </c>
      <c r="F19" s="69"/>
      <c r="G19" s="69" t="str">
        <f t="shared" ref="G19:G21" si="4">IF(F19="","",E19*F19)</f>
        <v/>
      </c>
    </row>
    <row r="20" spans="1:9" s="82" customFormat="1" ht="51" x14ac:dyDescent="0.2">
      <c r="A20" s="79"/>
      <c r="B20" s="80" t="s">
        <v>220</v>
      </c>
      <c r="C20" s="81" t="s">
        <v>4</v>
      </c>
      <c r="D20" s="67" t="s">
        <v>273</v>
      </c>
      <c r="E20" s="152">
        <v>8</v>
      </c>
      <c r="F20" s="69"/>
      <c r="G20" s="69" t="str">
        <f t="shared" si="4"/>
        <v/>
      </c>
    </row>
    <row r="21" spans="1:9" s="82" customFormat="1" ht="38.25" x14ac:dyDescent="0.2">
      <c r="A21" s="79"/>
      <c r="B21" s="80" t="s">
        <v>242</v>
      </c>
      <c r="C21" s="81" t="s">
        <v>4</v>
      </c>
      <c r="D21" s="67" t="s">
        <v>258</v>
      </c>
      <c r="E21" s="152">
        <v>13</v>
      </c>
      <c r="F21" s="69"/>
      <c r="G21" s="69" t="str">
        <f t="shared" si="4"/>
        <v/>
      </c>
    </row>
    <row r="22" spans="1:9" ht="9.6" customHeight="1" x14ac:dyDescent="0.2">
      <c r="B22" s="70"/>
      <c r="C22" s="71"/>
      <c r="D22" s="72"/>
      <c r="E22" s="73"/>
      <c r="F22" s="73"/>
      <c r="G22" s="73"/>
      <c r="I22" s="61"/>
    </row>
    <row r="23" spans="1:9" ht="21.2" customHeight="1" x14ac:dyDescent="0.3">
      <c r="B23" s="167" t="s">
        <v>95</v>
      </c>
      <c r="C23" s="168"/>
      <c r="D23" s="168"/>
      <c r="E23" s="59" t="str">
        <f>IF(SUM(E25:E27)=0,0,"")</f>
        <v/>
      </c>
      <c r="F23" s="59"/>
      <c r="G23" s="60"/>
    </row>
    <row r="24" spans="1:9" ht="9.6" customHeight="1" x14ac:dyDescent="0.3">
      <c r="B24" s="90"/>
      <c r="C24" s="90"/>
      <c r="D24" s="90"/>
      <c r="E24" s="91"/>
      <c r="F24" s="91"/>
      <c r="G24" s="91"/>
      <c r="I24" s="111"/>
    </row>
    <row r="25" spans="1:9" ht="63.75" x14ac:dyDescent="0.2">
      <c r="B25" s="80" t="s">
        <v>96</v>
      </c>
      <c r="C25" s="81" t="s">
        <v>4</v>
      </c>
      <c r="D25" s="67" t="s">
        <v>320</v>
      </c>
      <c r="E25" s="69">
        <v>14</v>
      </c>
      <c r="F25" s="69"/>
      <c r="G25" s="66" t="str">
        <f t="shared" ref="G25" si="5">IF(F25="","",E25*F25)</f>
        <v/>
      </c>
      <c r="I25" s="112">
        <v>0</v>
      </c>
    </row>
    <row r="26" spans="1:9" ht="38.25" x14ac:dyDescent="0.2">
      <c r="B26" s="63" t="s">
        <v>97</v>
      </c>
      <c r="C26" s="64" t="s">
        <v>4</v>
      </c>
      <c r="D26" s="92" t="s">
        <v>319</v>
      </c>
      <c r="E26" s="69">
        <v>14</v>
      </c>
      <c r="F26" s="66"/>
      <c r="G26" s="66" t="str">
        <f t="shared" ref="G26" si="6">IF(F26="","",E26*F26)</f>
        <v/>
      </c>
      <c r="I26" s="113">
        <v>289</v>
      </c>
    </row>
    <row r="27" spans="1:9" ht="63.75" x14ac:dyDescent="0.2">
      <c r="B27" s="63" t="s">
        <v>98</v>
      </c>
      <c r="C27" s="64" t="s">
        <v>4</v>
      </c>
      <c r="D27" s="65" t="s">
        <v>243</v>
      </c>
      <c r="E27" s="69">
        <v>16</v>
      </c>
      <c r="F27" s="66"/>
      <c r="G27" s="66" t="str">
        <f t="shared" ref="G27" si="7">IF(F27="","",E27*F27)</f>
        <v/>
      </c>
      <c r="I27" s="112">
        <v>0</v>
      </c>
    </row>
    <row r="28" spans="1:9" ht="25.5" x14ac:dyDescent="0.2">
      <c r="B28" s="63" t="s">
        <v>221</v>
      </c>
      <c r="C28" s="64" t="s">
        <v>4</v>
      </c>
      <c r="D28" s="65" t="s">
        <v>207</v>
      </c>
      <c r="E28" s="69">
        <f>3+5</f>
        <v>8</v>
      </c>
      <c r="F28" s="66"/>
      <c r="G28" s="66" t="str">
        <f t="shared" ref="G28" si="8">IF(F28="","",E28*F28)</f>
        <v/>
      </c>
      <c r="I28" s="110">
        <v>0</v>
      </c>
    </row>
    <row r="29" spans="1:9" ht="9.6" customHeight="1" x14ac:dyDescent="0.2">
      <c r="E29" s="58" t="str">
        <f>IF(SUM(E32:E33)=0,0,"")</f>
        <v/>
      </c>
      <c r="F29" s="58"/>
      <c r="G29" s="58"/>
    </row>
    <row r="30" spans="1:9" ht="21.2" customHeight="1" x14ac:dyDescent="0.3">
      <c r="B30" s="167" t="s">
        <v>99</v>
      </c>
      <c r="C30" s="168"/>
      <c r="D30" s="168"/>
      <c r="E30" s="59" t="str">
        <f>IF(SUM(E32:E33)=0,0,"")</f>
        <v/>
      </c>
      <c r="F30" s="59"/>
      <c r="G30" s="60"/>
    </row>
    <row r="31" spans="1:9" ht="9.6" customHeight="1" x14ac:dyDescent="0.2">
      <c r="E31" s="58" t="str">
        <f>IF(SUM(E32:E33)=0,0,"")</f>
        <v/>
      </c>
      <c r="F31" s="58"/>
      <c r="G31" s="58"/>
    </row>
    <row r="32" spans="1:9" ht="63.75" x14ac:dyDescent="0.2">
      <c r="B32" s="63" t="s">
        <v>100</v>
      </c>
      <c r="C32" s="64" t="s">
        <v>101</v>
      </c>
      <c r="D32" s="65" t="s">
        <v>277</v>
      </c>
      <c r="E32" s="69">
        <f>E14</f>
        <v>10</v>
      </c>
      <c r="F32" s="66"/>
      <c r="G32" s="66" t="str">
        <f t="shared" ref="G32" si="9">IF(F32="","",E32*F32)</f>
        <v/>
      </c>
      <c r="I32" s="105">
        <v>0</v>
      </c>
    </row>
    <row r="33" spans="2:9" ht="63.75" x14ac:dyDescent="0.2">
      <c r="B33" s="63" t="s">
        <v>102</v>
      </c>
      <c r="C33" s="64" t="s">
        <v>4</v>
      </c>
      <c r="D33" s="65" t="s">
        <v>278</v>
      </c>
      <c r="E33" s="69">
        <v>1</v>
      </c>
      <c r="F33" s="66"/>
      <c r="G33" s="66" t="str">
        <f t="shared" ref="G33" si="10">IF(F33="","",E33*F33)</f>
        <v/>
      </c>
      <c r="I33" s="106">
        <v>200</v>
      </c>
    </row>
    <row r="34" spans="2:9" ht="9.6" customHeight="1" thickBot="1" x14ac:dyDescent="0.25">
      <c r="B34" s="70"/>
      <c r="C34" s="71"/>
      <c r="D34" s="72"/>
      <c r="E34" s="73"/>
      <c r="F34" s="73"/>
      <c r="G34" s="73"/>
      <c r="I34" s="61"/>
    </row>
    <row r="35" spans="2:9" ht="16.5" thickBot="1" x14ac:dyDescent="0.25">
      <c r="D35" s="74" t="s">
        <v>132</v>
      </c>
      <c r="E35" s="75"/>
      <c r="F35" s="169" t="str">
        <f>IF(SUM(G5:G33)=0,"",SUM(G5:G33))</f>
        <v/>
      </c>
      <c r="G35" s="170"/>
    </row>
  </sheetData>
  <sheetProtection selectLockedCells="1" selectUnlockedCells="1"/>
  <autoFilter ref="E1:G35">
    <filterColumn colId="0">
      <filters blank="1">
        <filter val="1,00"/>
        <filter val="10,00"/>
        <filter val="100,00"/>
        <filter val="13,00"/>
        <filter val="14,00"/>
        <filter val="25,00"/>
        <filter val="3,00"/>
        <filter val="5,00"/>
        <filter val="500,00"/>
        <filter val="8,00"/>
        <filter val="količina"/>
      </filters>
    </filterColumn>
  </autoFilter>
  <dataConsolidate/>
  <mergeCells count="6">
    <mergeCell ref="B4:G4"/>
    <mergeCell ref="F35:G35"/>
    <mergeCell ref="B6:D6"/>
    <mergeCell ref="B11:D11"/>
    <mergeCell ref="B23:D23"/>
    <mergeCell ref="B30:D3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44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93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94" t="s">
        <v>37</v>
      </c>
      <c r="F2" s="52" t="s">
        <v>38</v>
      </c>
      <c r="G2" s="52" t="s">
        <v>39</v>
      </c>
      <c r="I2" s="98" t="s">
        <v>45</v>
      </c>
    </row>
    <row r="3" spans="1:9" s="62" customFormat="1" x14ac:dyDescent="0.2">
      <c r="A3" s="53"/>
      <c r="B3" s="54"/>
      <c r="C3" s="54"/>
      <c r="D3" s="55"/>
      <c r="E3" s="95"/>
      <c r="F3" s="56"/>
      <c r="G3" s="56"/>
      <c r="I3" s="99"/>
    </row>
    <row r="4" spans="1:9" ht="15.75" x14ac:dyDescent="0.2">
      <c r="B4" s="166" t="s">
        <v>104</v>
      </c>
      <c r="C4" s="166"/>
      <c r="D4" s="166"/>
      <c r="E4" s="174"/>
      <c r="F4" s="166"/>
      <c r="G4" s="166"/>
    </row>
    <row r="5" spans="1:9" ht="12.75" customHeight="1" x14ac:dyDescent="0.2">
      <c r="B5" s="150"/>
      <c r="C5" s="150"/>
      <c r="D5" s="150"/>
      <c r="E5" s="100" t="str">
        <f>IF(SUM(E8:E13)=0,0,"")</f>
        <v/>
      </c>
      <c r="F5" s="89"/>
      <c r="G5" s="89" t="s">
        <v>328</v>
      </c>
    </row>
    <row r="6" spans="1:9" ht="21.2" customHeight="1" x14ac:dyDescent="0.3">
      <c r="B6" s="167" t="s">
        <v>105</v>
      </c>
      <c r="C6" s="168"/>
      <c r="D6" s="168"/>
      <c r="E6" s="101" t="str">
        <f>IF(SUM(E8:E13)=0,0,"")</f>
        <v/>
      </c>
      <c r="F6" s="59"/>
      <c r="G6" s="60" t="s">
        <v>328</v>
      </c>
    </row>
    <row r="7" spans="1:9" x14ac:dyDescent="0.2">
      <c r="E7" s="100" t="str">
        <f>IF(SUM(E8:E13)=0,0,"")</f>
        <v/>
      </c>
      <c r="F7" s="89"/>
      <c r="G7" s="89" t="s">
        <v>328</v>
      </c>
    </row>
    <row r="8" spans="1:9" ht="38.25" x14ac:dyDescent="0.2">
      <c r="B8" s="63" t="s">
        <v>106</v>
      </c>
      <c r="C8" s="64" t="s">
        <v>9</v>
      </c>
      <c r="D8" s="65" t="s">
        <v>280</v>
      </c>
      <c r="E8" s="69">
        <v>40</v>
      </c>
      <c r="F8" s="66"/>
      <c r="G8" s="66" t="str">
        <f t="shared" ref="G8:G13" si="0">IF(F8="","",E8*F8)</f>
        <v/>
      </c>
      <c r="I8" s="97">
        <v>5</v>
      </c>
    </row>
    <row r="9" spans="1:9" ht="38.25" x14ac:dyDescent="0.2">
      <c r="B9" s="63" t="s">
        <v>286</v>
      </c>
      <c r="C9" s="64" t="s">
        <v>9</v>
      </c>
      <c r="D9" s="65" t="s">
        <v>282</v>
      </c>
      <c r="E9" s="69">
        <v>4</v>
      </c>
      <c r="F9" s="66"/>
      <c r="G9" s="66" t="str">
        <f t="shared" si="0"/>
        <v/>
      </c>
      <c r="I9" s="97">
        <v>0</v>
      </c>
    </row>
    <row r="10" spans="1:9" ht="38.25" x14ac:dyDescent="0.2">
      <c r="B10" s="63" t="s">
        <v>287</v>
      </c>
      <c r="C10" s="64" t="s">
        <v>9</v>
      </c>
      <c r="D10" s="65" t="s">
        <v>281</v>
      </c>
      <c r="E10" s="69">
        <v>35</v>
      </c>
      <c r="F10" s="66"/>
      <c r="G10" s="66" t="str">
        <f t="shared" si="0"/>
        <v/>
      </c>
      <c r="I10" s="97">
        <v>0</v>
      </c>
    </row>
    <row r="11" spans="1:9" ht="51" x14ac:dyDescent="0.2">
      <c r="B11" s="63" t="s">
        <v>107</v>
      </c>
      <c r="C11" s="64" t="s">
        <v>9</v>
      </c>
      <c r="D11" s="65" t="s">
        <v>283</v>
      </c>
      <c r="E11" s="69">
        <v>105</v>
      </c>
      <c r="F11" s="66"/>
      <c r="G11" s="66" t="str">
        <f t="shared" si="0"/>
        <v/>
      </c>
      <c r="I11" s="97">
        <v>8</v>
      </c>
    </row>
    <row r="12" spans="1:9" ht="51" x14ac:dyDescent="0.2">
      <c r="B12" s="63" t="s">
        <v>108</v>
      </c>
      <c r="C12" s="64" t="s">
        <v>9</v>
      </c>
      <c r="D12" s="65" t="s">
        <v>284</v>
      </c>
      <c r="E12" s="69">
        <v>9</v>
      </c>
      <c r="F12" s="66"/>
      <c r="G12" s="66" t="str">
        <f t="shared" si="0"/>
        <v/>
      </c>
      <c r="I12" s="97">
        <v>0</v>
      </c>
    </row>
    <row r="13" spans="1:9" ht="51" x14ac:dyDescent="0.2">
      <c r="B13" s="63" t="s">
        <v>109</v>
      </c>
      <c r="C13" s="64" t="s">
        <v>9</v>
      </c>
      <c r="D13" s="65" t="s">
        <v>285</v>
      </c>
      <c r="E13" s="69">
        <v>110</v>
      </c>
      <c r="F13" s="66"/>
      <c r="G13" s="66" t="str">
        <f t="shared" si="0"/>
        <v/>
      </c>
      <c r="I13" s="97">
        <v>0</v>
      </c>
    </row>
    <row r="14" spans="1:9" x14ac:dyDescent="0.2">
      <c r="E14" s="68" t="str">
        <f>IF(SUM(E17:E20)=0,0,"")</f>
        <v/>
      </c>
      <c r="F14" s="58"/>
      <c r="G14" s="58" t="s">
        <v>328</v>
      </c>
    </row>
    <row r="15" spans="1:9" ht="21.2" customHeight="1" x14ac:dyDescent="0.3">
      <c r="B15" s="167" t="s">
        <v>110</v>
      </c>
      <c r="C15" s="168"/>
      <c r="D15" s="168"/>
      <c r="E15" s="101" t="str">
        <f>IF(SUM(E17:E20)=0,0,"")</f>
        <v/>
      </c>
      <c r="F15" s="59"/>
      <c r="G15" s="60" t="s">
        <v>328</v>
      </c>
    </row>
    <row r="16" spans="1:9" x14ac:dyDescent="0.2">
      <c r="E16" s="68" t="str">
        <f>IF(SUM(E17:E20)=0,0,"")</f>
        <v/>
      </c>
      <c r="F16" s="58"/>
      <c r="G16" s="58" t="s">
        <v>328</v>
      </c>
    </row>
    <row r="17" spans="2:9" ht="63.75" x14ac:dyDescent="0.2">
      <c r="B17" s="63" t="s">
        <v>290</v>
      </c>
      <c r="C17" s="64" t="s">
        <v>14</v>
      </c>
      <c r="D17" s="65" t="s">
        <v>288</v>
      </c>
      <c r="E17" s="69">
        <v>2100</v>
      </c>
      <c r="F17" s="66"/>
      <c r="G17" s="66" t="str">
        <f t="shared" ref="G17:G18" si="1">IF(F17="","",E17*F17)</f>
        <v/>
      </c>
      <c r="I17" s="97">
        <v>2.5</v>
      </c>
    </row>
    <row r="18" spans="2:9" ht="63.75" x14ac:dyDescent="0.2">
      <c r="B18" s="63" t="s">
        <v>291</v>
      </c>
      <c r="C18" s="64" t="s">
        <v>14</v>
      </c>
      <c r="D18" s="65" t="s">
        <v>289</v>
      </c>
      <c r="E18" s="69">
        <v>2580</v>
      </c>
      <c r="F18" s="66"/>
      <c r="G18" s="66" t="str">
        <f t="shared" si="1"/>
        <v/>
      </c>
      <c r="I18" s="97">
        <v>2.5</v>
      </c>
    </row>
    <row r="19" spans="2:9" ht="38.25" x14ac:dyDescent="0.2">
      <c r="B19" s="63" t="s">
        <v>292</v>
      </c>
      <c r="C19" s="64" t="s">
        <v>4</v>
      </c>
      <c r="D19" s="65" t="s">
        <v>294</v>
      </c>
      <c r="E19" s="69">
        <v>16</v>
      </c>
      <c r="F19" s="66"/>
      <c r="G19" s="66" t="str">
        <f t="shared" ref="G19:G20" si="2">IF(F19="","",E19*F19)</f>
        <v/>
      </c>
      <c r="I19" s="97">
        <v>0</v>
      </c>
    </row>
    <row r="20" spans="2:9" ht="38.25" x14ac:dyDescent="0.2">
      <c r="B20" s="63" t="s">
        <v>293</v>
      </c>
      <c r="C20" s="64" t="s">
        <v>4</v>
      </c>
      <c r="D20" s="65" t="s">
        <v>295</v>
      </c>
      <c r="E20" s="69">
        <v>15</v>
      </c>
      <c r="F20" s="66"/>
      <c r="G20" s="66" t="str">
        <f t="shared" si="2"/>
        <v/>
      </c>
      <c r="I20" s="97">
        <v>0</v>
      </c>
    </row>
    <row r="21" spans="2:9" x14ac:dyDescent="0.2">
      <c r="E21" s="68" t="str">
        <f>IF(SUM(E24:E29)=0,0,"")</f>
        <v/>
      </c>
      <c r="F21" s="58"/>
      <c r="G21" s="58" t="s">
        <v>328</v>
      </c>
    </row>
    <row r="22" spans="2:9" ht="21.2" customHeight="1" x14ac:dyDescent="0.3">
      <c r="B22" s="167" t="s">
        <v>111</v>
      </c>
      <c r="C22" s="168"/>
      <c r="D22" s="168"/>
      <c r="E22" s="101" t="str">
        <f>IF(SUM(E24:E29)=0,0,"")</f>
        <v/>
      </c>
      <c r="F22" s="59"/>
      <c r="G22" s="60" t="s">
        <v>328</v>
      </c>
    </row>
    <row r="23" spans="2:9" x14ac:dyDescent="0.2">
      <c r="E23" s="68" t="str">
        <f>IF(SUM(E24:E29)=0,0,"")</f>
        <v/>
      </c>
      <c r="F23" s="58"/>
      <c r="G23" s="58" t="s">
        <v>328</v>
      </c>
    </row>
    <row r="24" spans="2:9" ht="76.5" x14ac:dyDescent="0.2">
      <c r="B24" s="63" t="s">
        <v>296</v>
      </c>
      <c r="C24" s="64" t="s">
        <v>16</v>
      </c>
      <c r="D24" s="65" t="s">
        <v>300</v>
      </c>
      <c r="E24" s="69">
        <v>3</v>
      </c>
      <c r="F24" s="66"/>
      <c r="G24" s="66" t="str">
        <f t="shared" ref="G24:G25" si="3">IF(F24="","",E24*F24)</f>
        <v/>
      </c>
      <c r="I24" s="97">
        <v>0</v>
      </c>
    </row>
    <row r="25" spans="2:9" ht="76.5" x14ac:dyDescent="0.2">
      <c r="B25" s="63" t="s">
        <v>297</v>
      </c>
      <c r="C25" s="64" t="s">
        <v>16</v>
      </c>
      <c r="D25" s="65" t="s">
        <v>301</v>
      </c>
      <c r="E25" s="69">
        <v>4</v>
      </c>
      <c r="F25" s="66"/>
      <c r="G25" s="66" t="str">
        <f t="shared" si="3"/>
        <v/>
      </c>
      <c r="I25" s="97">
        <v>0</v>
      </c>
    </row>
    <row r="26" spans="2:9" ht="76.5" x14ac:dyDescent="0.2">
      <c r="B26" s="63" t="s">
        <v>112</v>
      </c>
      <c r="C26" s="64" t="s">
        <v>16</v>
      </c>
      <c r="D26" s="65" t="s">
        <v>298</v>
      </c>
      <c r="E26" s="69">
        <f>0.5*38</f>
        <v>19</v>
      </c>
      <c r="F26" s="66"/>
      <c r="G26" s="66" t="str">
        <f t="shared" ref="G26:G29" si="4">IF(F26="","",E26*F26)</f>
        <v/>
      </c>
      <c r="I26" s="97">
        <v>0</v>
      </c>
    </row>
    <row r="27" spans="2:9" ht="76.5" x14ac:dyDescent="0.2">
      <c r="B27" s="63" t="s">
        <v>112</v>
      </c>
      <c r="C27" s="64" t="s">
        <v>16</v>
      </c>
      <c r="D27" s="65" t="s">
        <v>299</v>
      </c>
      <c r="E27" s="69">
        <f>0.9*25</f>
        <v>22.5</v>
      </c>
      <c r="F27" s="66"/>
      <c r="G27" s="66" t="str">
        <f t="shared" si="4"/>
        <v/>
      </c>
      <c r="I27" s="97">
        <v>0</v>
      </c>
    </row>
    <row r="28" spans="2:9" ht="76.5" x14ac:dyDescent="0.2">
      <c r="B28" s="63" t="s">
        <v>113</v>
      </c>
      <c r="C28" s="64" t="s">
        <v>16</v>
      </c>
      <c r="D28" s="65" t="s">
        <v>302</v>
      </c>
      <c r="E28" s="69">
        <f>0.35*38</f>
        <v>13.299999999999999</v>
      </c>
      <c r="F28" s="66"/>
      <c r="G28" s="66" t="str">
        <f t="shared" si="4"/>
        <v/>
      </c>
      <c r="I28" s="97">
        <v>0</v>
      </c>
    </row>
    <row r="29" spans="2:9" ht="76.5" x14ac:dyDescent="0.2">
      <c r="B29" s="63" t="s">
        <v>113</v>
      </c>
      <c r="C29" s="64" t="s">
        <v>16</v>
      </c>
      <c r="D29" s="65" t="s">
        <v>303</v>
      </c>
      <c r="E29" s="69">
        <f>0.63*25</f>
        <v>15.75</v>
      </c>
      <c r="F29" s="66"/>
      <c r="G29" s="66" t="str">
        <f t="shared" si="4"/>
        <v/>
      </c>
      <c r="I29" s="97">
        <v>0</v>
      </c>
    </row>
    <row r="30" spans="2:9" ht="12" customHeight="1" x14ac:dyDescent="0.2">
      <c r="E30" s="68" t="str">
        <f>IF(SUM(E33:E33)=0,0,"")</f>
        <v/>
      </c>
      <c r="F30" s="58"/>
      <c r="G30" s="58" t="s">
        <v>328</v>
      </c>
    </row>
    <row r="31" spans="2:9" ht="21.2" customHeight="1" x14ac:dyDescent="0.3">
      <c r="B31" s="167" t="s">
        <v>114</v>
      </c>
      <c r="C31" s="168"/>
      <c r="D31" s="168"/>
      <c r="E31" s="101" t="str">
        <f>IF(SUM(E33:E33)=0,0,"")</f>
        <v/>
      </c>
      <c r="F31" s="59"/>
      <c r="G31" s="60" t="s">
        <v>328</v>
      </c>
    </row>
    <row r="32" spans="2:9" ht="12" customHeight="1" x14ac:dyDescent="0.2">
      <c r="E32" s="68" t="str">
        <f>IF(SUM(E33:E33)=0,0,"")</f>
        <v/>
      </c>
      <c r="F32" s="58"/>
      <c r="G32" s="58" t="s">
        <v>328</v>
      </c>
    </row>
    <row r="33" spans="2:9" ht="51" x14ac:dyDescent="0.2">
      <c r="B33" s="63" t="s">
        <v>115</v>
      </c>
      <c r="C33" s="64" t="s">
        <v>101</v>
      </c>
      <c r="D33" s="65" t="s">
        <v>325</v>
      </c>
      <c r="E33" s="69">
        <f>60+42+38</f>
        <v>140</v>
      </c>
      <c r="F33" s="66"/>
      <c r="G33" s="66" t="str">
        <f t="shared" ref="G33" si="5">IF(F33="","",E33*F33)</f>
        <v/>
      </c>
      <c r="I33" s="97">
        <v>0</v>
      </c>
    </row>
    <row r="34" spans="2:9" ht="38.25" hidden="1" x14ac:dyDescent="0.2">
      <c r="B34" s="63" t="s">
        <v>116</v>
      </c>
      <c r="C34" s="64" t="s">
        <v>13</v>
      </c>
      <c r="D34" s="65" t="s">
        <v>135</v>
      </c>
      <c r="E34" s="66">
        <v>0</v>
      </c>
      <c r="F34" s="66" t="s">
        <v>328</v>
      </c>
      <c r="G34" s="66" t="str">
        <f t="shared" ref="G34:G42" si="6">IF(F34="","",E34*F34)</f>
        <v/>
      </c>
      <c r="I34" s="97">
        <v>0</v>
      </c>
    </row>
    <row r="35" spans="2:9" hidden="1" x14ac:dyDescent="0.2">
      <c r="B35" s="63" t="s">
        <v>117</v>
      </c>
      <c r="C35" s="64" t="s">
        <v>13</v>
      </c>
      <c r="D35" s="65" t="s">
        <v>118</v>
      </c>
      <c r="E35" s="66">
        <v>0</v>
      </c>
      <c r="F35" s="66" t="s">
        <v>328</v>
      </c>
      <c r="G35" s="66" t="str">
        <f t="shared" si="6"/>
        <v/>
      </c>
      <c r="I35" s="97">
        <v>0</v>
      </c>
    </row>
    <row r="36" spans="2:9" hidden="1" x14ac:dyDescent="0.2">
      <c r="B36" s="63" t="s">
        <v>119</v>
      </c>
      <c r="C36" s="64" t="s">
        <v>13</v>
      </c>
      <c r="D36" s="65" t="s">
        <v>120</v>
      </c>
      <c r="E36" s="66">
        <v>0</v>
      </c>
      <c r="F36" s="66" t="s">
        <v>328</v>
      </c>
      <c r="G36" s="66" t="str">
        <f t="shared" si="6"/>
        <v/>
      </c>
      <c r="I36" s="97">
        <v>0</v>
      </c>
    </row>
    <row r="37" spans="2:9" hidden="1" x14ac:dyDescent="0.2">
      <c r="B37" s="63" t="s">
        <v>121</v>
      </c>
      <c r="C37" s="64" t="s">
        <v>13</v>
      </c>
      <c r="D37" s="65" t="s">
        <v>122</v>
      </c>
      <c r="E37" s="66">
        <v>0</v>
      </c>
      <c r="F37" s="66" t="s">
        <v>328</v>
      </c>
      <c r="G37" s="66" t="str">
        <f t="shared" si="6"/>
        <v/>
      </c>
      <c r="I37" s="97">
        <v>0</v>
      </c>
    </row>
    <row r="38" spans="2:9" hidden="1" x14ac:dyDescent="0.2">
      <c r="B38" s="63" t="s">
        <v>123</v>
      </c>
      <c r="C38" s="64" t="s">
        <v>13</v>
      </c>
      <c r="D38" s="65" t="s">
        <v>124</v>
      </c>
      <c r="E38" s="66">
        <v>0</v>
      </c>
      <c r="F38" s="66" t="s">
        <v>328</v>
      </c>
      <c r="G38" s="66" t="str">
        <f t="shared" si="6"/>
        <v/>
      </c>
      <c r="I38" s="97">
        <v>0</v>
      </c>
    </row>
    <row r="39" spans="2:9" ht="38.25" hidden="1" x14ac:dyDescent="0.2">
      <c r="B39" s="63" t="s">
        <v>125</v>
      </c>
      <c r="C39" s="64" t="s">
        <v>13</v>
      </c>
      <c r="D39" s="65" t="s">
        <v>136</v>
      </c>
      <c r="E39" s="66">
        <v>0</v>
      </c>
      <c r="F39" s="66" t="s">
        <v>328</v>
      </c>
      <c r="G39" s="66" t="str">
        <f t="shared" si="6"/>
        <v/>
      </c>
      <c r="I39" s="97">
        <v>0</v>
      </c>
    </row>
    <row r="40" spans="2:9" ht="38.25" hidden="1" x14ac:dyDescent="0.2">
      <c r="B40" s="63" t="s">
        <v>126</v>
      </c>
      <c r="C40" s="64" t="s">
        <v>13</v>
      </c>
      <c r="D40" s="65" t="s">
        <v>137</v>
      </c>
      <c r="E40" s="66">
        <v>0</v>
      </c>
      <c r="F40" s="66" t="s">
        <v>328</v>
      </c>
      <c r="G40" s="66" t="str">
        <f t="shared" si="6"/>
        <v/>
      </c>
      <c r="I40" s="97">
        <v>0</v>
      </c>
    </row>
    <row r="41" spans="2:9" hidden="1" x14ac:dyDescent="0.2">
      <c r="B41" s="63" t="s">
        <v>127</v>
      </c>
      <c r="C41" s="64" t="s">
        <v>13</v>
      </c>
      <c r="D41" s="65" t="s">
        <v>128</v>
      </c>
      <c r="E41" s="66">
        <v>0</v>
      </c>
      <c r="F41" s="66" t="s">
        <v>328</v>
      </c>
      <c r="G41" s="66" t="str">
        <f t="shared" si="6"/>
        <v/>
      </c>
      <c r="I41" s="97">
        <v>0</v>
      </c>
    </row>
    <row r="42" spans="2:9" hidden="1" x14ac:dyDescent="0.2">
      <c r="B42" s="63" t="s">
        <v>129</v>
      </c>
      <c r="C42" s="64" t="s">
        <v>13</v>
      </c>
      <c r="D42" s="65" t="s">
        <v>130</v>
      </c>
      <c r="E42" s="66">
        <v>0</v>
      </c>
      <c r="F42" s="66" t="s">
        <v>328</v>
      </c>
      <c r="G42" s="66" t="str">
        <f t="shared" si="6"/>
        <v/>
      </c>
      <c r="I42" s="97">
        <v>0</v>
      </c>
    </row>
    <row r="43" spans="2:9" ht="12" customHeight="1" thickBot="1" x14ac:dyDescent="0.25"/>
    <row r="44" spans="2:9" ht="16.5" thickBot="1" x14ac:dyDescent="0.25">
      <c r="D44" s="74" t="s">
        <v>131</v>
      </c>
      <c r="E44" s="96"/>
      <c r="F44" s="169" t="str">
        <f>IF(SUM(G8:G42)=0,"",SUM(G8:G42))</f>
        <v/>
      </c>
      <c r="G44" s="170"/>
    </row>
  </sheetData>
  <sheetProtection selectLockedCells="1" selectUnlockedCells="1"/>
  <autoFilter ref="E1:G42">
    <filterColumn colId="0">
      <filters blank="1">
        <filter val="105,00"/>
        <filter val="110,00"/>
        <filter val="13,30"/>
        <filter val="140,00"/>
        <filter val="15,00"/>
        <filter val="15,75"/>
        <filter val="16,00"/>
        <filter val="19,00"/>
        <filter val="2.100,00"/>
        <filter val="2.580,00"/>
        <filter val="22,50"/>
        <filter val="3,00"/>
        <filter val="35,00"/>
        <filter val="4,00"/>
        <filter val="40,00"/>
        <filter val="9,00"/>
        <filter val="količina"/>
      </filters>
    </filterColumn>
  </autoFilter>
  <dataConsolidate/>
  <mergeCells count="6">
    <mergeCell ref="F44:G44"/>
    <mergeCell ref="B4:G4"/>
    <mergeCell ref="B6:D6"/>
    <mergeCell ref="B15:D15"/>
    <mergeCell ref="B22:D22"/>
    <mergeCell ref="B31:D3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1" max="6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32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146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147" t="s">
        <v>45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48"/>
    </row>
    <row r="4" spans="1:9" ht="15.75" x14ac:dyDescent="0.2">
      <c r="B4" s="166" t="s">
        <v>139</v>
      </c>
      <c r="C4" s="166"/>
      <c r="D4" s="166"/>
      <c r="E4" s="166"/>
      <c r="F4" s="166"/>
      <c r="G4" s="166"/>
    </row>
    <row r="5" spans="1:9" ht="12.75" customHeight="1" x14ac:dyDescent="0.2">
      <c r="B5" s="57"/>
      <c r="C5" s="57"/>
      <c r="D5" s="57"/>
      <c r="E5" s="76" t="str">
        <f>IF(SUM(E8:E11)=0,0,"")</f>
        <v/>
      </c>
      <c r="F5" s="76"/>
      <c r="G5" s="76"/>
    </row>
    <row r="6" spans="1:9" ht="21.2" customHeight="1" x14ac:dyDescent="0.3">
      <c r="B6" s="167" t="s">
        <v>140</v>
      </c>
      <c r="C6" s="168"/>
      <c r="D6" s="168"/>
      <c r="E6" s="59" t="str">
        <f>IF(SUM(E8:E11)=0,0,"")</f>
        <v/>
      </c>
      <c r="F6" s="59"/>
      <c r="G6" s="60"/>
    </row>
    <row r="7" spans="1:9" x14ac:dyDescent="0.2">
      <c r="E7" s="89" t="str">
        <f>IF(SUM(E8:E11)=0,0,"")</f>
        <v/>
      </c>
      <c r="F7" s="89"/>
      <c r="G7" s="89"/>
    </row>
    <row r="8" spans="1:9" ht="38.25" x14ac:dyDescent="0.2">
      <c r="B8" s="63" t="s">
        <v>141</v>
      </c>
      <c r="C8" s="64" t="s">
        <v>4</v>
      </c>
      <c r="D8" s="65" t="s">
        <v>245</v>
      </c>
      <c r="E8" s="69">
        <v>5</v>
      </c>
      <c r="F8" s="66"/>
      <c r="G8" s="66" t="str">
        <f t="shared" ref="G8:G9" si="0">IF(F8="","",E8*F8)</f>
        <v/>
      </c>
      <c r="I8" s="146">
        <v>30</v>
      </c>
    </row>
    <row r="9" spans="1:9" ht="38.25" x14ac:dyDescent="0.2">
      <c r="B9" s="63" t="s">
        <v>142</v>
      </c>
      <c r="C9" s="64" t="s">
        <v>4</v>
      </c>
      <c r="D9" s="65" t="s">
        <v>244</v>
      </c>
      <c r="E9" s="69">
        <v>5</v>
      </c>
      <c r="F9" s="66"/>
      <c r="G9" s="66" t="str">
        <f t="shared" si="0"/>
        <v/>
      </c>
      <c r="I9" s="146">
        <v>0</v>
      </c>
    </row>
    <row r="10" spans="1:9" ht="63.75" x14ac:dyDescent="0.2">
      <c r="B10" s="63" t="s">
        <v>143</v>
      </c>
      <c r="C10" s="64" t="s">
        <v>4</v>
      </c>
      <c r="D10" s="65" t="s">
        <v>323</v>
      </c>
      <c r="E10" s="69">
        <f>1+4</f>
        <v>5</v>
      </c>
      <c r="F10" s="66"/>
      <c r="G10" s="66" t="str">
        <f t="shared" ref="G10:G11" si="1">IF(F10="","",E10*F10)</f>
        <v/>
      </c>
      <c r="I10" s="146">
        <v>125</v>
      </c>
    </row>
    <row r="11" spans="1:9" ht="51" x14ac:dyDescent="0.2">
      <c r="B11" s="63" t="s">
        <v>144</v>
      </c>
      <c r="C11" s="64" t="s">
        <v>4</v>
      </c>
      <c r="D11" s="65" t="s">
        <v>324</v>
      </c>
      <c r="E11" s="69">
        <v>1</v>
      </c>
      <c r="F11" s="66"/>
      <c r="G11" s="66" t="str">
        <f t="shared" si="1"/>
        <v/>
      </c>
      <c r="I11" s="146">
        <v>150</v>
      </c>
    </row>
    <row r="12" spans="1:9" x14ac:dyDescent="0.2">
      <c r="E12" s="58" t="str">
        <f>IF(SUM(E15:E21)=0,0,"")</f>
        <v/>
      </c>
      <c r="F12" s="58"/>
      <c r="G12" s="58"/>
    </row>
    <row r="13" spans="1:9" ht="21.2" customHeight="1" x14ac:dyDescent="0.3">
      <c r="B13" s="167" t="s">
        <v>145</v>
      </c>
      <c r="C13" s="168"/>
      <c r="D13" s="168"/>
      <c r="E13" s="59" t="str">
        <f>IF(SUM(E15:E21)=0,0,"")</f>
        <v/>
      </c>
      <c r="F13" s="59"/>
      <c r="G13" s="60"/>
    </row>
    <row r="14" spans="1:9" x14ac:dyDescent="0.2">
      <c r="E14" s="58" t="str">
        <f>IF(SUM(E15:E21)=0,0,"")</f>
        <v/>
      </c>
      <c r="F14" s="58"/>
      <c r="G14" s="58"/>
    </row>
    <row r="15" spans="1:9" ht="76.5" x14ac:dyDescent="0.2">
      <c r="B15" s="63" t="s">
        <v>146</v>
      </c>
      <c r="C15" s="64" t="s">
        <v>13</v>
      </c>
      <c r="D15" s="67" t="s">
        <v>329</v>
      </c>
      <c r="E15" s="69">
        <f>14+(6*30)+(3*7)+(3*10)+50</f>
        <v>295</v>
      </c>
      <c r="F15" s="66"/>
      <c r="G15" s="66" t="str">
        <f t="shared" ref="G15:G19" si="2">IF(F15="","",E15*F15)</f>
        <v/>
      </c>
      <c r="I15" s="146">
        <v>0</v>
      </c>
    </row>
    <row r="16" spans="1:9" ht="76.5" x14ac:dyDescent="0.2">
      <c r="B16" s="63" t="s">
        <v>147</v>
      </c>
      <c r="C16" s="64" t="s">
        <v>13</v>
      </c>
      <c r="D16" s="67" t="s">
        <v>316</v>
      </c>
      <c r="E16" s="69">
        <f>1355-130</f>
        <v>1225</v>
      </c>
      <c r="F16" s="66"/>
      <c r="G16" s="66" t="str">
        <f t="shared" si="2"/>
        <v/>
      </c>
      <c r="I16" s="146">
        <v>0</v>
      </c>
    </row>
    <row r="17" spans="2:9" ht="63.75" x14ac:dyDescent="0.2">
      <c r="B17" s="63" t="s">
        <v>148</v>
      </c>
      <c r="C17" s="64" t="s">
        <v>13</v>
      </c>
      <c r="D17" s="67" t="s">
        <v>314</v>
      </c>
      <c r="E17" s="69">
        <f>1150-115</f>
        <v>1035</v>
      </c>
      <c r="F17" s="66"/>
      <c r="G17" s="66" t="str">
        <f t="shared" si="2"/>
        <v/>
      </c>
      <c r="I17" s="146">
        <v>0</v>
      </c>
    </row>
    <row r="18" spans="2:9" ht="76.5" x14ac:dyDescent="0.2">
      <c r="B18" s="63" t="s">
        <v>149</v>
      </c>
      <c r="C18" s="64" t="s">
        <v>13</v>
      </c>
      <c r="D18" s="67" t="s">
        <v>326</v>
      </c>
      <c r="E18" s="69">
        <f>50-20</f>
        <v>30</v>
      </c>
      <c r="F18" s="66"/>
      <c r="G18" s="66" t="str">
        <f t="shared" si="2"/>
        <v/>
      </c>
      <c r="I18" s="146">
        <v>25</v>
      </c>
    </row>
    <row r="19" spans="2:9" ht="114.75" x14ac:dyDescent="0.2">
      <c r="B19" s="63" t="s">
        <v>150</v>
      </c>
      <c r="C19" s="64" t="s">
        <v>9</v>
      </c>
      <c r="D19" s="67" t="s">
        <v>315</v>
      </c>
      <c r="E19" s="69">
        <f>80*0.35</f>
        <v>28</v>
      </c>
      <c r="F19" s="66"/>
      <c r="G19" s="66" t="str">
        <f t="shared" si="2"/>
        <v/>
      </c>
      <c r="I19" s="146">
        <v>0</v>
      </c>
    </row>
    <row r="20" spans="2:9" ht="76.5" x14ac:dyDescent="0.2">
      <c r="B20" s="63" t="s">
        <v>151</v>
      </c>
      <c r="C20" s="64" t="s">
        <v>9</v>
      </c>
      <c r="D20" s="67" t="s">
        <v>317</v>
      </c>
      <c r="E20" s="69">
        <f>12+12+12+12</f>
        <v>48</v>
      </c>
      <c r="F20" s="66"/>
      <c r="G20" s="66" t="str">
        <f t="shared" ref="G20" si="3">IF(F20="","",E20*F20)</f>
        <v/>
      </c>
      <c r="I20" s="146">
        <v>0</v>
      </c>
    </row>
    <row r="21" spans="2:9" ht="38.25" x14ac:dyDescent="0.2">
      <c r="B21" s="63" t="s">
        <v>313</v>
      </c>
      <c r="C21" s="64" t="s">
        <v>13</v>
      </c>
      <c r="D21" s="67" t="s">
        <v>318</v>
      </c>
      <c r="E21" s="69">
        <f>1300-95</f>
        <v>1205</v>
      </c>
      <c r="F21" s="66"/>
      <c r="G21" s="66" t="str">
        <f t="shared" ref="G21" si="4">IF(F21="","",E21*F21)</f>
        <v/>
      </c>
      <c r="I21" s="146">
        <v>0</v>
      </c>
    </row>
    <row r="22" spans="2:9" x14ac:dyDescent="0.2">
      <c r="E22" s="58" t="str">
        <f>IF(SUM(E25:E29)=0,0,"")</f>
        <v/>
      </c>
      <c r="F22" s="58"/>
      <c r="G22" s="58"/>
    </row>
    <row r="23" spans="2:9" ht="21.2" customHeight="1" x14ac:dyDescent="0.3">
      <c r="B23" s="167" t="s">
        <v>152</v>
      </c>
      <c r="C23" s="168"/>
      <c r="D23" s="168"/>
      <c r="E23" s="59" t="str">
        <f>IF(SUM(E25:E30)=0,0,"")</f>
        <v/>
      </c>
      <c r="F23" s="59"/>
      <c r="G23" s="60"/>
    </row>
    <row r="24" spans="2:9" x14ac:dyDescent="0.2">
      <c r="E24" s="58" t="str">
        <f>IF(SUM(E25:E29)=0,0,"")</f>
        <v/>
      </c>
      <c r="F24" s="58"/>
      <c r="G24" s="58"/>
    </row>
    <row r="25" spans="2:9" ht="38.25" x14ac:dyDescent="0.2">
      <c r="B25" s="63" t="s">
        <v>153</v>
      </c>
      <c r="C25" s="64" t="s">
        <v>4</v>
      </c>
      <c r="D25" s="67" t="s">
        <v>158</v>
      </c>
      <c r="E25" s="69">
        <f>33+4</f>
        <v>37</v>
      </c>
      <c r="F25" s="66"/>
      <c r="G25" s="66" t="str">
        <f t="shared" ref="G25" si="5">IF(F25="","",E25*F25)</f>
        <v/>
      </c>
      <c r="I25" s="146">
        <v>0</v>
      </c>
    </row>
    <row r="26" spans="2:9" ht="38.25" x14ac:dyDescent="0.2">
      <c r="B26" s="63" t="s">
        <v>154</v>
      </c>
      <c r="C26" s="64" t="s">
        <v>13</v>
      </c>
      <c r="D26" s="67" t="s">
        <v>247</v>
      </c>
      <c r="E26" s="69">
        <v>140</v>
      </c>
      <c r="F26" s="66"/>
      <c r="G26" s="66" t="str">
        <f t="shared" ref="G26" si="6">IF(F26="","",E26*F26)</f>
        <v/>
      </c>
      <c r="I26" s="146">
        <v>0</v>
      </c>
    </row>
    <row r="27" spans="2:9" ht="25.5" x14ac:dyDescent="0.2">
      <c r="B27" s="63" t="s">
        <v>155</v>
      </c>
      <c r="C27" s="64" t="s">
        <v>4</v>
      </c>
      <c r="D27" s="67" t="s">
        <v>246</v>
      </c>
      <c r="E27" s="69">
        <v>72</v>
      </c>
      <c r="F27" s="66"/>
      <c r="G27" s="66" t="str">
        <f t="shared" ref="G27:G30" si="7">IF(F27="","",E27*F27)</f>
        <v/>
      </c>
      <c r="I27" s="146">
        <v>60</v>
      </c>
    </row>
    <row r="28" spans="2:9" ht="25.5" x14ac:dyDescent="0.2">
      <c r="B28" s="63" t="s">
        <v>156</v>
      </c>
      <c r="C28" s="64" t="s">
        <v>13</v>
      </c>
      <c r="D28" s="67" t="s">
        <v>248</v>
      </c>
      <c r="E28" s="69">
        <v>140</v>
      </c>
      <c r="F28" s="66"/>
      <c r="G28" s="66" t="str">
        <f t="shared" si="7"/>
        <v/>
      </c>
      <c r="I28" s="146">
        <v>0</v>
      </c>
    </row>
    <row r="29" spans="2:9" ht="38.25" x14ac:dyDescent="0.2">
      <c r="B29" s="63" t="s">
        <v>157</v>
      </c>
      <c r="C29" s="64" t="s">
        <v>13</v>
      </c>
      <c r="D29" s="67" t="s">
        <v>159</v>
      </c>
      <c r="E29" s="69">
        <v>4</v>
      </c>
      <c r="F29" s="66"/>
      <c r="G29" s="66" t="str">
        <f t="shared" ref="G29" si="8">IF(F29="","",E29*F29)</f>
        <v/>
      </c>
      <c r="I29" s="146">
        <v>0</v>
      </c>
    </row>
    <row r="30" spans="2:9" ht="51" x14ac:dyDescent="0.2">
      <c r="B30" s="70" t="s">
        <v>215</v>
      </c>
      <c r="C30" s="64" t="s">
        <v>13</v>
      </c>
      <c r="D30" s="65" t="s">
        <v>279</v>
      </c>
      <c r="E30" s="69">
        <v>150</v>
      </c>
      <c r="F30" s="66"/>
      <c r="G30" s="66" t="str">
        <f t="shared" si="7"/>
        <v/>
      </c>
      <c r="I30" s="61"/>
    </row>
    <row r="31" spans="2:9" ht="13.5" thickBot="1" x14ac:dyDescent="0.25">
      <c r="I31" s="61"/>
    </row>
    <row r="32" spans="2:9" ht="16.5" thickBot="1" x14ac:dyDescent="0.25">
      <c r="D32" s="74" t="s">
        <v>138</v>
      </c>
      <c r="E32" s="75"/>
      <c r="F32" s="169" t="str">
        <f>IF(SUM(G8:G30)=0,"",SUM(G8:G30))</f>
        <v/>
      </c>
      <c r="G32" s="170"/>
    </row>
  </sheetData>
  <sheetProtection selectLockedCells="1" selectUnlockedCells="1"/>
  <autoFilter ref="E1:G32">
    <filterColumn colId="0">
      <filters blank="1">
        <filter val="1,00"/>
        <filter val="1.035,00"/>
        <filter val="1.205,00"/>
        <filter val="1.225,00"/>
        <filter val="140,00"/>
        <filter val="150,00"/>
        <filter val="245,00"/>
        <filter val="28,00"/>
        <filter val="30,00"/>
        <filter val="37,00"/>
        <filter val="4,00"/>
        <filter val="48,00"/>
        <filter val="5,00"/>
        <filter val="72,00"/>
        <filter val="količina"/>
      </filters>
    </filterColumn>
  </autoFilter>
  <dataConsolidate/>
  <mergeCells count="5">
    <mergeCell ref="F32:G32"/>
    <mergeCell ref="B4:G4"/>
    <mergeCell ref="B6:D6"/>
    <mergeCell ref="B13:D13"/>
    <mergeCell ref="B23:D2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31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5703125" style="47" customWidth="1"/>
    <col min="4" max="4" width="43.85546875" style="48" customWidth="1"/>
    <col min="5" max="5" width="9.140625" style="49"/>
    <col min="6" max="6" width="10.28515625" style="49" customWidth="1"/>
    <col min="7" max="7" width="9.7109375" style="49" customWidth="1"/>
    <col min="8" max="8" width="4" style="61" customWidth="1"/>
    <col min="9" max="9" width="6" style="146" hidden="1" customWidth="1"/>
    <col min="10" max="10" width="9.140625" style="61" customWidth="1"/>
    <col min="11" max="16384" width="9.140625" style="61"/>
  </cols>
  <sheetData>
    <row r="1" spans="1:9" ht="11.1" customHeight="1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147" t="s">
        <v>45</v>
      </c>
    </row>
    <row r="3" spans="1:9" s="62" customFormat="1" ht="11.1" customHeight="1" x14ac:dyDescent="0.2">
      <c r="A3" s="53"/>
      <c r="B3" s="54"/>
      <c r="C3" s="54"/>
      <c r="D3" s="55"/>
      <c r="E3" s="56"/>
      <c r="F3" s="56"/>
      <c r="G3" s="56"/>
      <c r="I3" s="148"/>
    </row>
    <row r="4" spans="1:9" ht="15.75" x14ac:dyDescent="0.2">
      <c r="B4" s="166" t="s">
        <v>161</v>
      </c>
      <c r="C4" s="166"/>
      <c r="D4" s="166"/>
      <c r="E4" s="166"/>
      <c r="F4" s="166"/>
      <c r="G4" s="166"/>
    </row>
    <row r="5" spans="1:9" ht="11.1" customHeight="1" x14ac:dyDescent="0.2">
      <c r="B5" s="70"/>
      <c r="C5" s="71"/>
      <c r="D5" s="72"/>
      <c r="E5" s="73" t="str">
        <f>IF(SUM(E8:E8)=0,0,"")</f>
        <v/>
      </c>
      <c r="F5" s="73"/>
      <c r="G5" s="73"/>
      <c r="I5" s="61"/>
    </row>
    <row r="6" spans="1:9" ht="21.2" customHeight="1" x14ac:dyDescent="0.3">
      <c r="B6" s="167" t="s">
        <v>162</v>
      </c>
      <c r="C6" s="168"/>
      <c r="D6" s="168"/>
      <c r="E6" s="59" t="str">
        <f>IF(SUM(E8:E8)=0,0,"")</f>
        <v/>
      </c>
      <c r="F6" s="59"/>
      <c r="G6" s="60"/>
    </row>
    <row r="7" spans="1:9" ht="11.1" customHeight="1" x14ac:dyDescent="0.2">
      <c r="E7" s="89" t="str">
        <f>IF(SUM(E8:E8)=0,0,"")</f>
        <v/>
      </c>
      <c r="F7" s="89"/>
      <c r="G7" s="89"/>
    </row>
    <row r="8" spans="1:9" ht="51" x14ac:dyDescent="0.2">
      <c r="B8" s="63" t="s">
        <v>163</v>
      </c>
      <c r="C8" s="64" t="s">
        <v>228</v>
      </c>
      <c r="D8" s="65" t="s">
        <v>311</v>
      </c>
      <c r="E8" s="69">
        <v>230</v>
      </c>
      <c r="F8" s="66"/>
      <c r="G8" s="66" t="str">
        <f>IF(F8="","",E8*F8)</f>
        <v/>
      </c>
      <c r="I8" s="146">
        <v>0</v>
      </c>
    </row>
    <row r="9" spans="1:9" ht="11.1" customHeight="1" x14ac:dyDescent="0.2">
      <c r="E9" s="89" t="str">
        <f>IF(SUM(E10:E12)=0,0,"")</f>
        <v/>
      </c>
      <c r="F9" s="89"/>
      <c r="G9" s="89"/>
    </row>
    <row r="10" spans="1:9" ht="21.2" customHeight="1" x14ac:dyDescent="0.3">
      <c r="B10" s="167" t="s">
        <v>164</v>
      </c>
      <c r="C10" s="168"/>
      <c r="D10" s="168"/>
      <c r="E10" s="59" t="str">
        <f>IF(SUM(E12:E12)=0,0,"")</f>
        <v/>
      </c>
      <c r="F10" s="59"/>
      <c r="G10" s="60"/>
    </row>
    <row r="11" spans="1:9" ht="11.1" customHeight="1" x14ac:dyDescent="0.2">
      <c r="E11" s="89" t="str">
        <f>IF(SUM(E12:E12)=0,0,"")</f>
        <v/>
      </c>
      <c r="F11" s="89"/>
      <c r="G11" s="89"/>
    </row>
    <row r="12" spans="1:9" ht="63.75" x14ac:dyDescent="0.2">
      <c r="B12" s="63" t="s">
        <v>165</v>
      </c>
      <c r="C12" s="64" t="s">
        <v>228</v>
      </c>
      <c r="D12" s="65" t="s">
        <v>312</v>
      </c>
      <c r="E12" s="69">
        <v>165</v>
      </c>
      <c r="F12" s="66"/>
      <c r="G12" s="66" t="str">
        <f t="shared" ref="G12" si="0">IF(F12="","",E12*F12)</f>
        <v/>
      </c>
      <c r="I12" s="146">
        <v>0</v>
      </c>
    </row>
    <row r="13" spans="1:9" ht="11.1" customHeight="1" x14ac:dyDescent="0.2">
      <c r="E13" s="89" t="str">
        <f>IF(SUM(E14:E16)=0,0,"")</f>
        <v/>
      </c>
      <c r="F13" s="89"/>
      <c r="G13" s="89"/>
    </row>
    <row r="14" spans="1:9" ht="21.2" customHeight="1" x14ac:dyDescent="0.3">
      <c r="B14" s="167" t="s">
        <v>166</v>
      </c>
      <c r="C14" s="168"/>
      <c r="D14" s="168"/>
      <c r="E14" s="59" t="str">
        <f>IF(SUM(E16:E16)=0,0,"")</f>
        <v/>
      </c>
      <c r="F14" s="59"/>
      <c r="G14" s="60"/>
    </row>
    <row r="15" spans="1:9" ht="11.1" customHeight="1" x14ac:dyDescent="0.2">
      <c r="E15" s="89" t="str">
        <f>IF(SUM(E16:E16)=0,0,"")</f>
        <v/>
      </c>
      <c r="F15" s="89"/>
      <c r="G15" s="89"/>
    </row>
    <row r="16" spans="1:9" ht="51" x14ac:dyDescent="0.2">
      <c r="B16" s="63" t="s">
        <v>167</v>
      </c>
      <c r="C16" s="64" t="s">
        <v>228</v>
      </c>
      <c r="D16" s="65" t="s">
        <v>253</v>
      </c>
      <c r="E16" s="69">
        <f>(10+5+90+20+15+80+5+15+125)-25</f>
        <v>340</v>
      </c>
      <c r="F16" s="66"/>
      <c r="G16" s="66" t="str">
        <f>IF(F16="","",E16*F16)</f>
        <v/>
      </c>
      <c r="I16" s="146">
        <v>0</v>
      </c>
    </row>
    <row r="17" spans="2:9" ht="11.1" customHeight="1" x14ac:dyDescent="0.2">
      <c r="E17" s="89" t="str">
        <f>IF(SUM(E20:E20)=0,0,"")</f>
        <v/>
      </c>
      <c r="F17" s="89"/>
      <c r="G17" s="89"/>
    </row>
    <row r="18" spans="2:9" ht="21.2" customHeight="1" x14ac:dyDescent="0.3">
      <c r="B18" s="167" t="s">
        <v>168</v>
      </c>
      <c r="C18" s="168"/>
      <c r="D18" s="168"/>
      <c r="E18" s="59" t="str">
        <f>IF(SUM(E20:E20)=0,0,"")</f>
        <v/>
      </c>
      <c r="F18" s="59"/>
      <c r="G18" s="60"/>
    </row>
    <row r="19" spans="2:9" ht="11.1" customHeight="1" x14ac:dyDescent="0.2">
      <c r="E19" s="89" t="str">
        <f>IF(SUM(E20:E20)=0,0,"")</f>
        <v/>
      </c>
      <c r="F19" s="89"/>
      <c r="G19" s="89"/>
    </row>
    <row r="20" spans="2:9" ht="51" x14ac:dyDescent="0.2">
      <c r="B20" s="63" t="s">
        <v>169</v>
      </c>
      <c r="C20" s="64" t="s">
        <v>228</v>
      </c>
      <c r="D20" s="65" t="s">
        <v>254</v>
      </c>
      <c r="E20" s="69">
        <f>10</f>
        <v>10</v>
      </c>
      <c r="F20" s="66"/>
      <c r="G20" s="66" t="str">
        <f>IF(F20="","",E20*F20)</f>
        <v/>
      </c>
      <c r="I20" s="146">
        <v>0</v>
      </c>
    </row>
    <row r="21" spans="2:9" ht="11.1" customHeight="1" x14ac:dyDescent="0.2">
      <c r="E21" s="89" t="str">
        <f>IF(SUM(E24:E29)=0,0,"")</f>
        <v/>
      </c>
      <c r="F21" s="89"/>
      <c r="G21" s="89"/>
    </row>
    <row r="22" spans="2:9" ht="21.2" customHeight="1" x14ac:dyDescent="0.3">
      <c r="B22" s="167" t="s">
        <v>170</v>
      </c>
      <c r="C22" s="168"/>
      <c r="D22" s="168"/>
      <c r="E22" s="59" t="str">
        <f>IF(SUM(E24:E29)=0,0,"")</f>
        <v/>
      </c>
      <c r="F22" s="59"/>
      <c r="G22" s="60"/>
    </row>
    <row r="23" spans="2:9" ht="11.1" customHeight="1" x14ac:dyDescent="0.2">
      <c r="E23" s="89" t="str">
        <f>IF(SUM(E24:E29)=0,0,"")</f>
        <v/>
      </c>
      <c r="F23" s="89"/>
      <c r="G23" s="89"/>
    </row>
    <row r="24" spans="2:9" ht="25.5" x14ac:dyDescent="0.2">
      <c r="B24" s="63" t="s">
        <v>171</v>
      </c>
      <c r="C24" s="64" t="s">
        <v>172</v>
      </c>
      <c r="D24" s="65" t="s">
        <v>229</v>
      </c>
      <c r="E24" s="69">
        <v>25</v>
      </c>
      <c r="F24" s="66"/>
      <c r="G24" s="66" t="str">
        <f t="shared" ref="G24:G29" si="1">IF(F24="","",E24*F24)</f>
        <v/>
      </c>
      <c r="I24" s="146">
        <v>125</v>
      </c>
    </row>
    <row r="25" spans="2:9" ht="25.5" x14ac:dyDescent="0.2">
      <c r="B25" s="63" t="s">
        <v>173</v>
      </c>
      <c r="C25" s="64" t="s">
        <v>172</v>
      </c>
      <c r="D25" s="65" t="s">
        <v>231</v>
      </c>
      <c r="E25" s="69">
        <v>10</v>
      </c>
      <c r="F25" s="66"/>
      <c r="G25" s="66" t="str">
        <f t="shared" si="1"/>
        <v/>
      </c>
      <c r="I25" s="146">
        <v>0</v>
      </c>
    </row>
    <row r="26" spans="2:9" ht="25.5" x14ac:dyDescent="0.2">
      <c r="B26" s="63" t="s">
        <v>174</v>
      </c>
      <c r="C26" s="64" t="s">
        <v>172</v>
      </c>
      <c r="D26" s="65" t="s">
        <v>230</v>
      </c>
      <c r="E26" s="69">
        <v>20</v>
      </c>
      <c r="F26" s="66"/>
      <c r="G26" s="66" t="str">
        <f t="shared" si="1"/>
        <v/>
      </c>
      <c r="I26" s="146">
        <v>125</v>
      </c>
    </row>
    <row r="27" spans="2:9" ht="38.25" x14ac:dyDescent="0.2">
      <c r="B27" s="63" t="s">
        <v>260</v>
      </c>
      <c r="C27" s="64" t="s">
        <v>261</v>
      </c>
      <c r="D27" s="67" t="s">
        <v>262</v>
      </c>
      <c r="E27" s="69">
        <v>20</v>
      </c>
      <c r="F27" s="66"/>
      <c r="G27" s="66" t="str">
        <f t="shared" si="1"/>
        <v/>
      </c>
      <c r="I27" s="61"/>
    </row>
    <row r="28" spans="2:9" ht="63.75" x14ac:dyDescent="0.2">
      <c r="B28" s="63" t="s">
        <v>175</v>
      </c>
      <c r="C28" s="64" t="s">
        <v>261</v>
      </c>
      <c r="D28" s="67" t="s">
        <v>263</v>
      </c>
      <c r="E28" s="69">
        <v>20</v>
      </c>
      <c r="F28" s="66"/>
      <c r="G28" s="66" t="str">
        <f t="shared" si="1"/>
        <v/>
      </c>
      <c r="I28" s="61"/>
    </row>
    <row r="29" spans="2:9" ht="51" x14ac:dyDescent="0.2">
      <c r="B29" s="63" t="s">
        <v>252</v>
      </c>
      <c r="C29" s="64" t="s">
        <v>4</v>
      </c>
      <c r="D29" s="65" t="s">
        <v>255</v>
      </c>
      <c r="E29" s="69">
        <v>1</v>
      </c>
      <c r="F29" s="66"/>
      <c r="G29" s="66" t="str">
        <f t="shared" si="1"/>
        <v/>
      </c>
      <c r="I29" s="146">
        <v>0</v>
      </c>
    </row>
    <row r="30" spans="2:9" ht="11.1" customHeight="1" thickBot="1" x14ac:dyDescent="0.25"/>
    <row r="31" spans="2:9" ht="16.5" thickBot="1" x14ac:dyDescent="0.25">
      <c r="D31" s="74" t="s">
        <v>160</v>
      </c>
      <c r="E31" s="75"/>
      <c r="F31" s="169" t="str">
        <f>IF(SUM(G6:G29)=0,"",SUM(G6:G29))</f>
        <v/>
      </c>
      <c r="G31" s="170"/>
    </row>
  </sheetData>
  <sheetProtection selectLockedCells="1" selectUnlockedCells="1"/>
  <autoFilter ref="E1:G31">
    <filterColumn colId="0">
      <filters blank="1">
        <filter val="1,00"/>
        <filter val="10,00"/>
        <filter val="120,00"/>
        <filter val="15,00"/>
        <filter val="20,00"/>
        <filter val="30,00"/>
        <filter val="300,00"/>
        <filter val="365,00"/>
        <filter val="količina"/>
      </filters>
    </filterColumn>
  </autoFilter>
  <dataConsolidate/>
  <mergeCells count="7">
    <mergeCell ref="B22:D22"/>
    <mergeCell ref="F31:G31"/>
    <mergeCell ref="B10:D10"/>
    <mergeCell ref="B4:G4"/>
    <mergeCell ref="B6:D6"/>
    <mergeCell ref="B14:D14"/>
    <mergeCell ref="B18:D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46</vt:i4>
      </vt:variant>
    </vt:vector>
  </HeadingPairs>
  <TitlesOfParts>
    <vt:vector size="54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'5. GRADBENA IN OBRTNIŠKA DELA'!_1_preddela_2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_3.5_Robni_elementi_vozišč</vt:lpstr>
      <vt:lpstr>_4.2_Drenaže</vt:lpstr>
      <vt:lpstr>_4.3_Kanalizacija</vt:lpstr>
      <vt:lpstr>_4.4_Jaški</vt:lpstr>
      <vt:lpstr>_4.5_Prepusti</vt:lpstr>
      <vt:lpstr>_5.1_Tesarska_dela</vt:lpstr>
      <vt:lpstr>_6.1_Pokončna_oprema_cest</vt:lpstr>
      <vt:lpstr>_6.2_Označbe_na_voziščihž</vt:lpstr>
      <vt:lpstr>_6.4_Oprema_za_zavarovanje_prometa</vt:lpstr>
      <vt:lpstr>_7.2_Elektroenergetski_vodi</vt:lpstr>
      <vt:lpstr>_7.3_Telekomunikacijske_naprave</vt:lpstr>
      <vt:lpstr>_7.6_vodovod</vt:lpstr>
      <vt:lpstr>_7.7_Plinovod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2025-09-18T12:38:49Z</cp:lastPrinted>
  <dcterms:created xsi:type="dcterms:W3CDTF">2010-07-30T11:24:43Z</dcterms:created>
  <dcterms:modified xsi:type="dcterms:W3CDTF">2025-09-18T12:46:59Z</dcterms:modified>
</cp:coreProperties>
</file>